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neDrive - OFWAT\Service Delivery\2019-20\Final for publication\"/>
    </mc:Choice>
  </mc:AlternateContent>
  <bookViews>
    <workbookView xWindow="0" yWindow="0" windowWidth="19200" windowHeight="7040" tabRatio="814"/>
  </bookViews>
  <sheets>
    <sheet name="Cover" sheetId="19" r:id="rId1"/>
    <sheet name="Map &amp; Key" sheetId="18" r:id="rId2"/>
    <sheet name="OUTPUT│Summary" sheetId="13" r:id="rId3"/>
    <sheet name="INPUTS│Wholesale Totex" sheetId="2" r:id="rId4"/>
    <sheet name="INPUTS│Residential Retail" sheetId="3" r:id="rId5"/>
    <sheet name="INPUTS│Outcomes" sheetId="1" r:id="rId6"/>
    <sheet name="INPUTS│Performance Commitments" sheetId="8" r:id="rId7"/>
    <sheet name="CALCS│Wholesale Totex" sheetId="14" r:id="rId8"/>
    <sheet name="CALCS│Residential Retail" sheetId="16" r:id="rId9"/>
    <sheet name="CALCS│Outcomes" sheetId="6" r:id="rId10"/>
    <sheet name="CALCS│Performance Commitments" sheetId="7" r:id="rId11"/>
    <sheet name="CALCS│Summary" sheetId="12" r:id="rId12"/>
    <sheet name="OUTPUT│Totex" sheetId="15" r:id="rId13"/>
    <sheet name="OUTPUT│Performance Commitments" sheetId="10" r:id="rId14"/>
    <sheet name="OUTPUT│Outcomes Trends" sheetId="11" r:id="rId15"/>
    <sheet name="OUTPUT│Environment" sheetId="23" r:id="rId16"/>
  </sheets>
  <definedNames>
    <definedName name="Last_year">'Map &amp; Key'!$F$118</definedName>
    <definedName name="Year">'Map &amp; Key'!$F$117</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1" i="12" l="1"/>
  <c r="AO121" i="12"/>
  <c r="AJ121" i="12"/>
  <c r="AH121" i="12"/>
  <c r="AC121" i="12"/>
  <c r="AA121" i="12"/>
  <c r="V121" i="12"/>
  <c r="T121" i="12"/>
  <c r="O121" i="12"/>
  <c r="M121" i="12"/>
  <c r="H121" i="12"/>
  <c r="F121" i="12"/>
  <c r="H92" i="12"/>
  <c r="F92" i="12"/>
  <c r="H63" i="12"/>
  <c r="O6" i="12"/>
  <c r="M6" i="12"/>
  <c r="H6" i="12"/>
  <c r="I69" i="23" l="1"/>
  <c r="I70" i="23"/>
  <c r="I71" i="23"/>
  <c r="I72" i="23"/>
  <c r="I73" i="23"/>
  <c r="I74" i="23"/>
  <c r="I75" i="23"/>
  <c r="I76" i="23"/>
  <c r="I77" i="23"/>
  <c r="I68" i="23"/>
  <c r="G69" i="23"/>
  <c r="G70" i="23"/>
  <c r="G71" i="23"/>
  <c r="G72" i="23"/>
  <c r="G73" i="23"/>
  <c r="G74" i="23"/>
  <c r="G75" i="23"/>
  <c r="G76" i="23"/>
  <c r="G77" i="23"/>
  <c r="G68" i="23"/>
  <c r="F69" i="23"/>
  <c r="F70" i="23"/>
  <c r="F71" i="23"/>
  <c r="J71" i="23" s="1"/>
  <c r="F72" i="23"/>
  <c r="F73" i="23"/>
  <c r="F74" i="23"/>
  <c r="F75" i="23"/>
  <c r="J75" i="23" s="1"/>
  <c r="F76" i="23"/>
  <c r="F77" i="23"/>
  <c r="F68" i="23"/>
  <c r="E69" i="23"/>
  <c r="E70" i="23"/>
  <c r="E71" i="23"/>
  <c r="E72" i="23"/>
  <c r="E73" i="23"/>
  <c r="E74" i="23"/>
  <c r="E75" i="23"/>
  <c r="E76" i="23"/>
  <c r="E77" i="23"/>
  <c r="E68" i="23"/>
  <c r="D69" i="23"/>
  <c r="D70" i="23"/>
  <c r="D71" i="23"/>
  <c r="D72" i="23"/>
  <c r="D73" i="23"/>
  <c r="D74" i="23"/>
  <c r="D75" i="23"/>
  <c r="D76" i="23"/>
  <c r="D77" i="23"/>
  <c r="D68" i="23"/>
  <c r="G67" i="23"/>
  <c r="F67" i="23"/>
  <c r="I46" i="23"/>
  <c r="I47" i="23"/>
  <c r="I48" i="23"/>
  <c r="I49" i="23"/>
  <c r="I50" i="23"/>
  <c r="I51" i="23"/>
  <c r="I52" i="23"/>
  <c r="I53" i="23"/>
  <c r="I54" i="23"/>
  <c r="I55" i="23"/>
  <c r="I56" i="23"/>
  <c r="I57" i="23"/>
  <c r="I58" i="23"/>
  <c r="I59" i="23"/>
  <c r="I60" i="23"/>
  <c r="I61" i="23"/>
  <c r="I62" i="23"/>
  <c r="I63" i="23"/>
  <c r="I45" i="23"/>
  <c r="G46" i="23"/>
  <c r="G47" i="23"/>
  <c r="G48" i="23"/>
  <c r="G49" i="23"/>
  <c r="G50" i="23"/>
  <c r="G51" i="23"/>
  <c r="G52" i="23"/>
  <c r="G53" i="23"/>
  <c r="G54" i="23"/>
  <c r="G55" i="23"/>
  <c r="G56" i="23"/>
  <c r="G57" i="23"/>
  <c r="G58" i="23"/>
  <c r="G59" i="23"/>
  <c r="G60" i="23"/>
  <c r="G61" i="23"/>
  <c r="G62" i="23"/>
  <c r="G63" i="23"/>
  <c r="G45" i="23"/>
  <c r="F46" i="23"/>
  <c r="F47" i="23"/>
  <c r="F48" i="23"/>
  <c r="F49" i="23"/>
  <c r="F50" i="23"/>
  <c r="F51" i="23"/>
  <c r="F52" i="23"/>
  <c r="F53" i="23"/>
  <c r="F54" i="23"/>
  <c r="F55" i="23"/>
  <c r="F56" i="23"/>
  <c r="F57" i="23"/>
  <c r="F58" i="23"/>
  <c r="F59" i="23"/>
  <c r="F60" i="23"/>
  <c r="F61" i="23"/>
  <c r="F62" i="23"/>
  <c r="F63" i="23"/>
  <c r="F45" i="23"/>
  <c r="E46" i="23"/>
  <c r="E47" i="23"/>
  <c r="E48" i="23"/>
  <c r="E49" i="23"/>
  <c r="E50" i="23"/>
  <c r="E51" i="23"/>
  <c r="E52" i="23"/>
  <c r="E53" i="23"/>
  <c r="E54" i="23"/>
  <c r="E55" i="23"/>
  <c r="E56" i="23"/>
  <c r="E57" i="23"/>
  <c r="E58" i="23"/>
  <c r="E59" i="23"/>
  <c r="E60" i="23"/>
  <c r="E61" i="23"/>
  <c r="E62" i="23"/>
  <c r="E63" i="23"/>
  <c r="E45" i="23"/>
  <c r="D63" i="23"/>
  <c r="D62" i="23"/>
  <c r="D61" i="23"/>
  <c r="D60" i="23"/>
  <c r="D59" i="23"/>
  <c r="D57" i="23"/>
  <c r="D54" i="23"/>
  <c r="D53" i="23"/>
  <c r="D50" i="23"/>
  <c r="D47" i="23"/>
  <c r="D45" i="23"/>
  <c r="G44" i="23"/>
  <c r="F44" i="23"/>
  <c r="F4" i="23"/>
  <c r="F5" i="23"/>
  <c r="F6" i="23"/>
  <c r="F7" i="23"/>
  <c r="F8" i="23"/>
  <c r="F9" i="23"/>
  <c r="F10" i="23"/>
  <c r="F11" i="23"/>
  <c r="F12" i="23"/>
  <c r="F13" i="23"/>
  <c r="G5" i="23"/>
  <c r="G6" i="23"/>
  <c r="G7" i="23"/>
  <c r="G8" i="23"/>
  <c r="G9" i="23"/>
  <c r="G10" i="23"/>
  <c r="G11" i="23"/>
  <c r="G12" i="23"/>
  <c r="G13" i="23"/>
  <c r="F32" i="23"/>
  <c r="F33" i="23"/>
  <c r="F34" i="23"/>
  <c r="F35" i="23"/>
  <c r="F36" i="23"/>
  <c r="F37" i="23"/>
  <c r="F38" i="23"/>
  <c r="F39" i="23"/>
  <c r="F40" i="23"/>
  <c r="G33" i="23"/>
  <c r="G34" i="23"/>
  <c r="G35" i="23"/>
  <c r="G36" i="23"/>
  <c r="G37" i="23"/>
  <c r="G38" i="23"/>
  <c r="G39" i="23"/>
  <c r="G40" i="23"/>
  <c r="I34" i="23"/>
  <c r="I35" i="23"/>
  <c r="I36" i="23"/>
  <c r="I37" i="23"/>
  <c r="I38" i="23"/>
  <c r="I39" i="23"/>
  <c r="I40" i="23"/>
  <c r="I33" i="23"/>
  <c r="E34" i="23"/>
  <c r="E35" i="23"/>
  <c r="E36" i="23"/>
  <c r="E37" i="23"/>
  <c r="E38" i="23"/>
  <c r="E39" i="23"/>
  <c r="E40" i="23"/>
  <c r="E33" i="23"/>
  <c r="D39" i="23"/>
  <c r="D38" i="23"/>
  <c r="D37" i="23"/>
  <c r="D36" i="23"/>
  <c r="D35" i="23"/>
  <c r="D34" i="23"/>
  <c r="D33" i="23"/>
  <c r="G32" i="23"/>
  <c r="I19" i="23"/>
  <c r="I20" i="23"/>
  <c r="I21" i="23"/>
  <c r="I22" i="23"/>
  <c r="I23" i="23"/>
  <c r="I24" i="23"/>
  <c r="I25" i="23"/>
  <c r="I26" i="23"/>
  <c r="I27" i="23"/>
  <c r="I28" i="23"/>
  <c r="I18" i="23"/>
  <c r="F19" i="23"/>
  <c r="F20" i="23"/>
  <c r="F21" i="23"/>
  <c r="F22" i="23"/>
  <c r="F23" i="23"/>
  <c r="F24" i="23"/>
  <c r="F25" i="23"/>
  <c r="F26" i="23"/>
  <c r="F27" i="23"/>
  <c r="F28" i="23"/>
  <c r="F18" i="23"/>
  <c r="G19" i="23"/>
  <c r="G20" i="23"/>
  <c r="G21" i="23"/>
  <c r="G22" i="23"/>
  <c r="G23" i="23"/>
  <c r="G24" i="23"/>
  <c r="G25" i="23"/>
  <c r="G26" i="23"/>
  <c r="G27" i="23"/>
  <c r="G28" i="23"/>
  <c r="G18" i="23"/>
  <c r="E19" i="23"/>
  <c r="E20" i="23"/>
  <c r="E21" i="23"/>
  <c r="E22" i="23"/>
  <c r="E23" i="23"/>
  <c r="E24" i="23"/>
  <c r="E25" i="23"/>
  <c r="E26" i="23"/>
  <c r="E27" i="23"/>
  <c r="E28" i="23"/>
  <c r="E18" i="23"/>
  <c r="D27" i="23"/>
  <c r="D25" i="23"/>
  <c r="D24" i="23"/>
  <c r="D21" i="23"/>
  <c r="D20" i="23"/>
  <c r="D18" i="23"/>
  <c r="G17" i="23"/>
  <c r="F17" i="23"/>
  <c r="I6" i="23"/>
  <c r="I7" i="23"/>
  <c r="I8" i="23"/>
  <c r="I9" i="23"/>
  <c r="I10" i="23"/>
  <c r="I11" i="23"/>
  <c r="I12" i="23"/>
  <c r="I13" i="23"/>
  <c r="I5" i="23"/>
  <c r="J61" i="23" l="1"/>
  <c r="J57" i="23"/>
  <c r="J53" i="23"/>
  <c r="J49" i="23"/>
  <c r="J11" i="23"/>
  <c r="J7" i="23"/>
  <c r="J77" i="23"/>
  <c r="J69" i="23"/>
  <c r="J18" i="23"/>
  <c r="J25" i="23"/>
  <c r="J21" i="23"/>
  <c r="J10" i="23"/>
  <c r="J6" i="23"/>
  <c r="J40" i="23"/>
  <c r="J62" i="23"/>
  <c r="J58" i="23"/>
  <c r="J54" i="23"/>
  <c r="J50" i="23"/>
  <c r="J46" i="23"/>
  <c r="J36" i="23"/>
  <c r="J68" i="23"/>
  <c r="J74" i="23"/>
  <c r="J70" i="23"/>
  <c r="J38" i="23"/>
  <c r="J34" i="23"/>
  <c r="J28" i="23"/>
  <c r="J24" i="23"/>
  <c r="J20" i="23"/>
  <c r="J37" i="23"/>
  <c r="J33" i="23"/>
  <c r="J12" i="23"/>
  <c r="J27" i="23"/>
  <c r="J23" i="23"/>
  <c r="J19" i="23"/>
  <c r="J26" i="23"/>
  <c r="J22" i="23"/>
  <c r="J45" i="23"/>
  <c r="J60" i="23"/>
  <c r="J56" i="23"/>
  <c r="J52" i="23"/>
  <c r="J48" i="23"/>
  <c r="J73" i="23"/>
  <c r="J39" i="23"/>
  <c r="J35" i="23"/>
  <c r="J63" i="23"/>
  <c r="J59" i="23"/>
  <c r="J55" i="23"/>
  <c r="J51" i="23"/>
  <c r="J47" i="23"/>
  <c r="J76" i="23"/>
  <c r="J72" i="23"/>
  <c r="J8" i="23"/>
  <c r="J13" i="23"/>
  <c r="J9" i="23"/>
  <c r="G4" i="23" l="1"/>
  <c r="J5" i="23"/>
  <c r="E6" i="23" l="1"/>
  <c r="E7" i="23"/>
  <c r="E8" i="23"/>
  <c r="E9" i="23"/>
  <c r="E10" i="23"/>
  <c r="E11" i="23"/>
  <c r="E12" i="23"/>
  <c r="E13" i="23"/>
  <c r="E5" i="23"/>
  <c r="D6" i="23"/>
  <c r="D7" i="23"/>
  <c r="D8" i="23"/>
  <c r="D11" i="23"/>
  <c r="D12" i="23"/>
  <c r="D13" i="23"/>
  <c r="D5" i="23"/>
  <c r="K202" i="10" l="1"/>
  <c r="L5" i="10" l="1"/>
  <c r="L264" i="8"/>
  <c r="L7" i="10" s="1"/>
  <c r="L265" i="8"/>
  <c r="L8" i="10" s="1"/>
  <c r="L266" i="8"/>
  <c r="L9" i="10" s="1"/>
  <c r="L267" i="8"/>
  <c r="L10" i="10" s="1"/>
  <c r="L268" i="8"/>
  <c r="L11" i="10" s="1"/>
  <c r="L269" i="8"/>
  <c r="L12" i="10" s="1"/>
  <c r="L270" i="8"/>
  <c r="L13" i="10" s="1"/>
  <c r="L271" i="8"/>
  <c r="L14" i="10" s="1"/>
  <c r="L272" i="8"/>
  <c r="L15" i="10" s="1"/>
  <c r="L273" i="8"/>
  <c r="L16" i="10" s="1"/>
  <c r="L274" i="8"/>
  <c r="L17" i="10" s="1"/>
  <c r="L275" i="8"/>
  <c r="L18" i="10" s="1"/>
  <c r="L276" i="8"/>
  <c r="L19" i="10" s="1"/>
  <c r="L277" i="8"/>
  <c r="L20" i="10" s="1"/>
  <c r="L278" i="8"/>
  <c r="L21" i="10" s="1"/>
  <c r="L279" i="8"/>
  <c r="L22" i="10" s="1"/>
  <c r="L263" i="8"/>
  <c r="L6" i="10" s="1"/>
  <c r="F442" i="6" l="1"/>
  <c r="G442" i="6"/>
  <c r="F443" i="6"/>
  <c r="G443" i="6"/>
  <c r="F444" i="6"/>
  <c r="G444" i="6"/>
  <c r="F445" i="6"/>
  <c r="G445" i="6"/>
  <c r="F446" i="6"/>
  <c r="G446" i="6"/>
  <c r="F447" i="6"/>
  <c r="G447" i="6"/>
  <c r="F448" i="6"/>
  <c r="G448" i="6"/>
  <c r="F449" i="6"/>
  <c r="G449" i="6"/>
  <c r="F450" i="6"/>
  <c r="G450" i="6"/>
  <c r="F451" i="6"/>
  <c r="G451" i="6"/>
  <c r="F452" i="6"/>
  <c r="G452" i="6"/>
  <c r="F453" i="6"/>
  <c r="G453" i="6"/>
  <c r="F454" i="6"/>
  <c r="G454" i="6"/>
  <c r="F455" i="6"/>
  <c r="G455" i="6"/>
  <c r="F456" i="6"/>
  <c r="G456" i="6"/>
  <c r="F457" i="6"/>
  <c r="G457" i="6"/>
  <c r="F458" i="6"/>
  <c r="G458" i="6"/>
  <c r="E443" i="6"/>
  <c r="E444" i="6"/>
  <c r="E445" i="6"/>
  <c r="E446" i="6"/>
  <c r="E447" i="6"/>
  <c r="E448" i="6"/>
  <c r="E449" i="6"/>
  <c r="E450" i="6"/>
  <c r="E451" i="6"/>
  <c r="E452" i="6"/>
  <c r="E453" i="6"/>
  <c r="E454" i="6"/>
  <c r="E455" i="6"/>
  <c r="E456" i="6"/>
  <c r="E457" i="6"/>
  <c r="E458" i="6"/>
  <c r="E442" i="6"/>
  <c r="H442" i="6"/>
  <c r="I442" i="6"/>
  <c r="J442" i="6"/>
  <c r="K442" i="6"/>
  <c r="L442" i="6"/>
  <c r="H443" i="6"/>
  <c r="I443" i="6"/>
  <c r="J443" i="6"/>
  <c r="K443" i="6"/>
  <c r="L443" i="6"/>
  <c r="H444" i="6"/>
  <c r="I444" i="6"/>
  <c r="J444" i="6"/>
  <c r="K444" i="6"/>
  <c r="L444" i="6"/>
  <c r="H445" i="6"/>
  <c r="I445" i="6"/>
  <c r="J445" i="6"/>
  <c r="K445" i="6"/>
  <c r="L445" i="6"/>
  <c r="H446" i="6"/>
  <c r="I446" i="6"/>
  <c r="J446" i="6"/>
  <c r="K446" i="6"/>
  <c r="L446" i="6"/>
  <c r="H447" i="6"/>
  <c r="I447" i="6"/>
  <c r="J447" i="6"/>
  <c r="K447" i="6"/>
  <c r="L447" i="6"/>
  <c r="H448" i="6"/>
  <c r="I448" i="6"/>
  <c r="J448" i="6"/>
  <c r="K448" i="6"/>
  <c r="L448" i="6"/>
  <c r="H449" i="6"/>
  <c r="I449" i="6"/>
  <c r="J449" i="6"/>
  <c r="K449" i="6"/>
  <c r="L449" i="6"/>
  <c r="H450" i="6"/>
  <c r="I450" i="6"/>
  <c r="J450" i="6"/>
  <c r="K450" i="6"/>
  <c r="L450" i="6"/>
  <c r="H451" i="6"/>
  <c r="I451" i="6"/>
  <c r="J451" i="6"/>
  <c r="K451" i="6"/>
  <c r="L451" i="6"/>
  <c r="H452" i="6"/>
  <c r="I452" i="6"/>
  <c r="J452" i="6"/>
  <c r="K452" i="6"/>
  <c r="L452" i="6"/>
  <c r="H453" i="6"/>
  <c r="I453" i="6"/>
  <c r="J453" i="6"/>
  <c r="K453" i="6"/>
  <c r="L453" i="6"/>
  <c r="H454" i="6"/>
  <c r="I454" i="6"/>
  <c r="J454" i="6"/>
  <c r="K454" i="6"/>
  <c r="L454" i="6"/>
  <c r="H455" i="6"/>
  <c r="I455" i="6"/>
  <c r="J455" i="6"/>
  <c r="K455" i="6"/>
  <c r="L455" i="6"/>
  <c r="H456" i="6"/>
  <c r="I456" i="6"/>
  <c r="J456" i="6"/>
  <c r="K456" i="6"/>
  <c r="L456" i="6"/>
  <c r="H457" i="6"/>
  <c r="I457" i="6"/>
  <c r="J457" i="6"/>
  <c r="K457" i="6"/>
  <c r="L457" i="6"/>
  <c r="H458" i="6"/>
  <c r="I458" i="6"/>
  <c r="J458" i="6"/>
  <c r="K458" i="6"/>
  <c r="L458" i="6"/>
  <c r="E460" i="6" l="1"/>
  <c r="N447" i="6"/>
  <c r="N455" i="6"/>
  <c r="N443" i="6"/>
  <c r="N451" i="6"/>
  <c r="N457" i="6"/>
  <c r="N449" i="6"/>
  <c r="N456" i="6"/>
  <c r="N452" i="6"/>
  <c r="N448" i="6"/>
  <c r="N444" i="6"/>
  <c r="N453" i="6"/>
  <c r="N445" i="6"/>
  <c r="N442" i="6"/>
  <c r="N458" i="6"/>
  <c r="N454" i="6"/>
  <c r="N450" i="6"/>
  <c r="N446" i="6"/>
  <c r="I460" i="6"/>
  <c r="L460" i="6"/>
  <c r="H460" i="6"/>
  <c r="K460" i="6"/>
  <c r="G460" i="6"/>
  <c r="J460" i="6"/>
  <c r="F460" i="6"/>
  <c r="N460" i="6" l="1"/>
  <c r="E93" i="11" s="1"/>
  <c r="E80" i="11"/>
  <c r="D80" i="11" s="1"/>
  <c r="E84" i="11"/>
  <c r="D84" i="11" s="1"/>
  <c r="E88" i="11"/>
  <c r="D88" i="11" s="1"/>
  <c r="E92" i="11"/>
  <c r="D92" i="11" s="1"/>
  <c r="E77" i="11"/>
  <c r="D77" i="11" s="1"/>
  <c r="E81" i="11"/>
  <c r="D81" i="11" s="1"/>
  <c r="E85" i="11"/>
  <c r="D85" i="11" s="1"/>
  <c r="E89" i="11"/>
  <c r="D89" i="11" s="1"/>
  <c r="E76" i="11"/>
  <c r="D76" i="11" s="1"/>
  <c r="E78" i="11"/>
  <c r="D78" i="11" s="1"/>
  <c r="E82" i="11"/>
  <c r="D82" i="11" s="1"/>
  <c r="E86" i="11"/>
  <c r="D86" i="11" s="1"/>
  <c r="E90" i="11"/>
  <c r="D90" i="11" s="1"/>
  <c r="E91" i="11"/>
  <c r="D91" i="11" s="1"/>
  <c r="E79" i="11"/>
  <c r="D79" i="11" s="1"/>
  <c r="E83" i="11"/>
  <c r="D83" i="11" s="1"/>
  <c r="E87" i="11"/>
  <c r="D87" i="11" s="1"/>
  <c r="K67" i="8"/>
  <c r="K65" i="8"/>
  <c r="B207" i="11" l="1"/>
  <c r="K62" i="8" l="1"/>
  <c r="L169" i="8" l="1"/>
  <c r="B161" i="11" l="1"/>
  <c r="K78" i="8" l="1"/>
  <c r="L78" i="8" l="1"/>
  <c r="L183" i="8" l="1"/>
  <c r="K183" i="8"/>
  <c r="L180" i="8"/>
  <c r="K180" i="8"/>
  <c r="L177" i="8"/>
  <c r="K177" i="8"/>
  <c r="L175" i="8"/>
  <c r="K175" i="8"/>
  <c r="L174" i="8"/>
  <c r="K174" i="8"/>
  <c r="L173" i="8"/>
  <c r="K173" i="8"/>
  <c r="L172" i="8"/>
  <c r="K172" i="8"/>
  <c r="L170" i="8"/>
  <c r="K170" i="8"/>
  <c r="K169" i="8"/>
  <c r="L165" i="8"/>
  <c r="K165" i="8"/>
  <c r="L164" i="8"/>
  <c r="K164" i="8"/>
  <c r="L160" i="8"/>
  <c r="K160" i="8"/>
  <c r="L157" i="8"/>
  <c r="K157" i="8"/>
  <c r="L154" i="8"/>
  <c r="K154" i="8"/>
  <c r="L152" i="8"/>
  <c r="K152" i="8"/>
  <c r="L151" i="8"/>
  <c r="K151" i="8"/>
  <c r="L150" i="8"/>
  <c r="K150" i="8"/>
  <c r="L149" i="8"/>
  <c r="K149" i="8"/>
  <c r="L147" i="8"/>
  <c r="K147" i="8"/>
  <c r="L146" i="8"/>
  <c r="K146" i="8"/>
  <c r="L142" i="8"/>
  <c r="K142" i="8"/>
  <c r="L141" i="8"/>
  <c r="K141" i="8"/>
  <c r="K122" i="10" l="1"/>
  <c r="K121" i="10"/>
  <c r="K120" i="10"/>
  <c r="K119" i="10"/>
  <c r="K118" i="10"/>
  <c r="K117" i="10"/>
  <c r="K116" i="10"/>
  <c r="K115" i="10"/>
  <c r="K114" i="10"/>
  <c r="K113" i="10"/>
  <c r="K112" i="10"/>
  <c r="K111" i="10"/>
  <c r="K110" i="10"/>
  <c r="K109" i="10"/>
  <c r="K108" i="10"/>
  <c r="K107" i="10"/>
  <c r="K106" i="10"/>
  <c r="O104" i="10"/>
  <c r="I105" i="10"/>
  <c r="H105" i="10"/>
  <c r="G105" i="10"/>
  <c r="F105" i="10"/>
  <c r="E105" i="10"/>
  <c r="D52" i="7" l="1"/>
  <c r="W52" i="7" s="1"/>
  <c r="D51" i="7"/>
  <c r="D34" i="7"/>
  <c r="Y34" i="7" s="1"/>
  <c r="I107" i="10" s="1"/>
  <c r="D35" i="7"/>
  <c r="Q35" i="7" s="1"/>
  <c r="S35" i="7" s="1"/>
  <c r="D36" i="7"/>
  <c r="Q36" i="7" s="1"/>
  <c r="S36" i="7" s="1"/>
  <c r="D37" i="7"/>
  <c r="W37" i="7" s="1"/>
  <c r="G110" i="10" s="1"/>
  <c r="D39" i="7"/>
  <c r="W39" i="7" s="1"/>
  <c r="G112" i="10" s="1"/>
  <c r="D40" i="7"/>
  <c r="Q40" i="7" s="1"/>
  <c r="S40" i="7" s="1"/>
  <c r="D41" i="7"/>
  <c r="Y41" i="7" s="1"/>
  <c r="I114" i="10" s="1"/>
  <c r="D42" i="7"/>
  <c r="D43" i="7"/>
  <c r="W43" i="7" s="1"/>
  <c r="G116" i="10" s="1"/>
  <c r="D44" i="7"/>
  <c r="Q44" i="7" s="1"/>
  <c r="S44" i="7" s="1"/>
  <c r="D45" i="7"/>
  <c r="I45" i="7" s="1"/>
  <c r="K45" i="7" s="1"/>
  <c r="D46" i="7"/>
  <c r="Y46" i="7" s="1"/>
  <c r="I119" i="10" s="1"/>
  <c r="D47" i="7"/>
  <c r="W47" i="7" s="1"/>
  <c r="G120" i="10" s="1"/>
  <c r="D48" i="7"/>
  <c r="Q48" i="7" s="1"/>
  <c r="S48" i="7" s="1"/>
  <c r="D49" i="7"/>
  <c r="I49" i="7" s="1"/>
  <c r="K49" i="7" s="1"/>
  <c r="D33" i="7"/>
  <c r="Y33" i="7" s="1"/>
  <c r="I106" i="10" s="1"/>
  <c r="F102" i="6"/>
  <c r="G102" i="6"/>
  <c r="H102" i="6"/>
  <c r="I102" i="6"/>
  <c r="J102" i="6"/>
  <c r="K102" i="6"/>
  <c r="L102" i="6"/>
  <c r="F103" i="6"/>
  <c r="G103" i="6"/>
  <c r="H103" i="6"/>
  <c r="I103" i="6"/>
  <c r="J103" i="6"/>
  <c r="K103" i="6"/>
  <c r="L103" i="6"/>
  <c r="F104" i="6"/>
  <c r="G104" i="6"/>
  <c r="H104" i="6"/>
  <c r="I104" i="6"/>
  <c r="J104" i="6"/>
  <c r="K104" i="6"/>
  <c r="L104" i="6"/>
  <c r="F105" i="6"/>
  <c r="G105" i="6"/>
  <c r="H105" i="6"/>
  <c r="I105" i="6"/>
  <c r="J105" i="6"/>
  <c r="K105" i="6"/>
  <c r="L105" i="6"/>
  <c r="F106" i="6"/>
  <c r="G106" i="6"/>
  <c r="H106" i="6"/>
  <c r="I106" i="6"/>
  <c r="J106" i="6"/>
  <c r="K106" i="6"/>
  <c r="L106" i="6"/>
  <c r="F107" i="6"/>
  <c r="G107" i="6"/>
  <c r="H107" i="6"/>
  <c r="I107" i="6"/>
  <c r="J107" i="6"/>
  <c r="K107" i="6"/>
  <c r="L107" i="6"/>
  <c r="F108" i="6"/>
  <c r="G108" i="6"/>
  <c r="H108" i="6"/>
  <c r="I108" i="6"/>
  <c r="J108" i="6"/>
  <c r="K108" i="6"/>
  <c r="L108" i="6"/>
  <c r="F109" i="6"/>
  <c r="G109" i="6"/>
  <c r="H109" i="6"/>
  <c r="I109" i="6"/>
  <c r="J109" i="6"/>
  <c r="K109" i="6"/>
  <c r="L109" i="6"/>
  <c r="F110" i="6"/>
  <c r="G110" i="6"/>
  <c r="H110" i="6"/>
  <c r="I110" i="6"/>
  <c r="J110" i="6"/>
  <c r="K110" i="6"/>
  <c r="L110" i="6"/>
  <c r="F111" i="6"/>
  <c r="G111" i="6"/>
  <c r="H111" i="6"/>
  <c r="I111" i="6"/>
  <c r="J111" i="6"/>
  <c r="K111" i="6"/>
  <c r="L111" i="6"/>
  <c r="F112" i="6"/>
  <c r="G112" i="6"/>
  <c r="H112" i="6"/>
  <c r="I112" i="6"/>
  <c r="J112" i="6"/>
  <c r="K112" i="6"/>
  <c r="L112" i="6"/>
  <c r="F113" i="6"/>
  <c r="G113" i="6"/>
  <c r="H113" i="6"/>
  <c r="I113" i="6"/>
  <c r="J113" i="6"/>
  <c r="K113" i="6"/>
  <c r="L113" i="6"/>
  <c r="F114" i="6"/>
  <c r="G114" i="6"/>
  <c r="H114" i="6"/>
  <c r="I114" i="6"/>
  <c r="J114" i="6"/>
  <c r="K114" i="6"/>
  <c r="L114" i="6"/>
  <c r="F115" i="6"/>
  <c r="G115" i="6"/>
  <c r="H115" i="6"/>
  <c r="I115" i="6"/>
  <c r="J115" i="6"/>
  <c r="K115" i="6"/>
  <c r="L115" i="6"/>
  <c r="F116" i="6"/>
  <c r="G116" i="6"/>
  <c r="H116" i="6"/>
  <c r="I116" i="6"/>
  <c r="J116" i="6"/>
  <c r="K116" i="6"/>
  <c r="L116" i="6"/>
  <c r="F117" i="6"/>
  <c r="G117" i="6"/>
  <c r="H117" i="6"/>
  <c r="I117" i="6"/>
  <c r="J117" i="6"/>
  <c r="K117" i="6"/>
  <c r="L117" i="6"/>
  <c r="F118" i="6"/>
  <c r="G118" i="6"/>
  <c r="H118" i="6"/>
  <c r="I118" i="6"/>
  <c r="J118" i="6"/>
  <c r="K118" i="6"/>
  <c r="L118" i="6"/>
  <c r="E103" i="6"/>
  <c r="E104" i="6"/>
  <c r="E105" i="6"/>
  <c r="E106" i="6"/>
  <c r="E107" i="6"/>
  <c r="E108" i="6"/>
  <c r="E109" i="6"/>
  <c r="E110" i="6"/>
  <c r="E111" i="6"/>
  <c r="E112" i="6"/>
  <c r="E113" i="6"/>
  <c r="E114" i="6"/>
  <c r="E115" i="6"/>
  <c r="E116" i="6"/>
  <c r="E117" i="6"/>
  <c r="E118" i="6"/>
  <c r="E102" i="6"/>
  <c r="F80" i="6"/>
  <c r="F125" i="6" s="1"/>
  <c r="G80" i="6"/>
  <c r="G125" i="6" s="1"/>
  <c r="H80" i="6"/>
  <c r="H125" i="6" s="1"/>
  <c r="I80" i="6"/>
  <c r="I125" i="6" s="1"/>
  <c r="J80" i="6"/>
  <c r="J125" i="6" s="1"/>
  <c r="K80" i="6"/>
  <c r="K125" i="6" s="1"/>
  <c r="L80" i="6"/>
  <c r="F81" i="6"/>
  <c r="F126" i="6" s="1"/>
  <c r="G81" i="6"/>
  <c r="G126" i="6" s="1"/>
  <c r="H81" i="6"/>
  <c r="H126" i="6" s="1"/>
  <c r="I81" i="6"/>
  <c r="I126" i="6" s="1"/>
  <c r="J81" i="6"/>
  <c r="J126" i="6" s="1"/>
  <c r="K81" i="6"/>
  <c r="K126" i="6" s="1"/>
  <c r="L81" i="6"/>
  <c r="F82" i="6"/>
  <c r="F127" i="6" s="1"/>
  <c r="G82" i="6"/>
  <c r="G127" i="6" s="1"/>
  <c r="H82" i="6"/>
  <c r="H127" i="6" s="1"/>
  <c r="I82" i="6"/>
  <c r="I127" i="6" s="1"/>
  <c r="J82" i="6"/>
  <c r="J127" i="6" s="1"/>
  <c r="K82" i="6"/>
  <c r="K127" i="6" s="1"/>
  <c r="L82" i="6"/>
  <c r="F83" i="6"/>
  <c r="F128" i="6" s="1"/>
  <c r="G83" i="6"/>
  <c r="G128" i="6" s="1"/>
  <c r="H83" i="6"/>
  <c r="H128" i="6" s="1"/>
  <c r="I83" i="6"/>
  <c r="I128" i="6" s="1"/>
  <c r="J83" i="6"/>
  <c r="J128" i="6" s="1"/>
  <c r="K83" i="6"/>
  <c r="L83" i="6"/>
  <c r="F84" i="6"/>
  <c r="F129" i="6" s="1"/>
  <c r="G84" i="6"/>
  <c r="G129" i="6" s="1"/>
  <c r="H84" i="6"/>
  <c r="H129" i="6" s="1"/>
  <c r="I84" i="6"/>
  <c r="I129" i="6" s="1"/>
  <c r="J84" i="6"/>
  <c r="J129" i="6" s="1"/>
  <c r="K84" i="6"/>
  <c r="K129" i="6" s="1"/>
  <c r="L84" i="6"/>
  <c r="F85" i="6"/>
  <c r="F130" i="6" s="1"/>
  <c r="G85" i="6"/>
  <c r="G130" i="6" s="1"/>
  <c r="H85" i="6"/>
  <c r="H130" i="6" s="1"/>
  <c r="I85" i="6"/>
  <c r="I130" i="6" s="1"/>
  <c r="J85" i="6"/>
  <c r="J130" i="6" s="1"/>
  <c r="K85" i="6"/>
  <c r="K130" i="6" s="1"/>
  <c r="L85" i="6"/>
  <c r="F86" i="6"/>
  <c r="F131" i="6" s="1"/>
  <c r="G86" i="6"/>
  <c r="G131" i="6" s="1"/>
  <c r="H86" i="6"/>
  <c r="H131" i="6" s="1"/>
  <c r="I86" i="6"/>
  <c r="I131" i="6" s="1"/>
  <c r="J86" i="6"/>
  <c r="J131" i="6" s="1"/>
  <c r="K86" i="6"/>
  <c r="K131" i="6" s="1"/>
  <c r="L86" i="6"/>
  <c r="F87" i="6"/>
  <c r="F132" i="6" s="1"/>
  <c r="G87" i="6"/>
  <c r="G132" i="6" s="1"/>
  <c r="H87" i="6"/>
  <c r="H132" i="6" s="1"/>
  <c r="I87" i="6"/>
  <c r="I132" i="6" s="1"/>
  <c r="J87" i="6"/>
  <c r="J132" i="6" s="1"/>
  <c r="K87" i="6"/>
  <c r="K132" i="6" s="1"/>
  <c r="L87" i="6"/>
  <c r="F88" i="6"/>
  <c r="F133" i="6" s="1"/>
  <c r="G88" i="6"/>
  <c r="G133" i="6" s="1"/>
  <c r="H88" i="6"/>
  <c r="H133" i="6" s="1"/>
  <c r="I88" i="6"/>
  <c r="I133" i="6" s="1"/>
  <c r="J88" i="6"/>
  <c r="J133" i="6" s="1"/>
  <c r="K88" i="6"/>
  <c r="K133" i="6" s="1"/>
  <c r="L88" i="6"/>
  <c r="F89" i="6"/>
  <c r="F134" i="6" s="1"/>
  <c r="G89" i="6"/>
  <c r="G134" i="6" s="1"/>
  <c r="H89" i="6"/>
  <c r="H134" i="6" s="1"/>
  <c r="I89" i="6"/>
  <c r="I134" i="6" s="1"/>
  <c r="J89" i="6"/>
  <c r="J134" i="6" s="1"/>
  <c r="K89" i="6"/>
  <c r="K134" i="6" s="1"/>
  <c r="L89" i="6"/>
  <c r="F90" i="6"/>
  <c r="F135" i="6" s="1"/>
  <c r="G90" i="6"/>
  <c r="G135" i="6" s="1"/>
  <c r="H90" i="6"/>
  <c r="H135" i="6" s="1"/>
  <c r="I90" i="6"/>
  <c r="I135" i="6" s="1"/>
  <c r="J90" i="6"/>
  <c r="J135" i="6" s="1"/>
  <c r="K90" i="6"/>
  <c r="K135" i="6" s="1"/>
  <c r="L90" i="6"/>
  <c r="F91" i="6"/>
  <c r="F136" i="6" s="1"/>
  <c r="G91" i="6"/>
  <c r="G136" i="6" s="1"/>
  <c r="H91" i="6"/>
  <c r="H136" i="6" s="1"/>
  <c r="I91" i="6"/>
  <c r="I136" i="6" s="1"/>
  <c r="J91" i="6"/>
  <c r="J136" i="6" s="1"/>
  <c r="K91" i="6"/>
  <c r="K136" i="6" s="1"/>
  <c r="L91" i="6"/>
  <c r="F92" i="6"/>
  <c r="F137" i="6" s="1"/>
  <c r="G92" i="6"/>
  <c r="G137" i="6" s="1"/>
  <c r="H92" i="6"/>
  <c r="H137" i="6" s="1"/>
  <c r="I92" i="6"/>
  <c r="I137" i="6" s="1"/>
  <c r="J92" i="6"/>
  <c r="J137" i="6" s="1"/>
  <c r="K92" i="6"/>
  <c r="K137" i="6" s="1"/>
  <c r="L92" i="6"/>
  <c r="F93" i="6"/>
  <c r="F138" i="6" s="1"/>
  <c r="G93" i="6"/>
  <c r="G138" i="6" s="1"/>
  <c r="H93" i="6"/>
  <c r="H138" i="6" s="1"/>
  <c r="I93" i="6"/>
  <c r="I138" i="6" s="1"/>
  <c r="J93" i="6"/>
  <c r="J138" i="6" s="1"/>
  <c r="K93" i="6"/>
  <c r="K138" i="6" s="1"/>
  <c r="L93" i="6"/>
  <c r="F94" i="6"/>
  <c r="F139" i="6" s="1"/>
  <c r="G94" i="6"/>
  <c r="G139" i="6" s="1"/>
  <c r="H94" i="6"/>
  <c r="H139" i="6" s="1"/>
  <c r="I94" i="6"/>
  <c r="I139" i="6" s="1"/>
  <c r="J94" i="6"/>
  <c r="J139" i="6" s="1"/>
  <c r="K94" i="6"/>
  <c r="K139" i="6" s="1"/>
  <c r="L94" i="6"/>
  <c r="F95" i="6"/>
  <c r="F140" i="6" s="1"/>
  <c r="G95" i="6"/>
  <c r="G140" i="6" s="1"/>
  <c r="H95" i="6"/>
  <c r="H140" i="6" s="1"/>
  <c r="I95" i="6"/>
  <c r="I140" i="6" s="1"/>
  <c r="J95" i="6"/>
  <c r="J140" i="6" s="1"/>
  <c r="K95" i="6"/>
  <c r="K140" i="6" s="1"/>
  <c r="L95" i="6"/>
  <c r="F96" i="6"/>
  <c r="F141" i="6" s="1"/>
  <c r="G96" i="6"/>
  <c r="G141" i="6" s="1"/>
  <c r="H96" i="6"/>
  <c r="H141" i="6" s="1"/>
  <c r="I96" i="6"/>
  <c r="I141" i="6" s="1"/>
  <c r="J96" i="6"/>
  <c r="J141" i="6" s="1"/>
  <c r="K96" i="6"/>
  <c r="K141" i="6" s="1"/>
  <c r="L96" i="6"/>
  <c r="E81" i="6"/>
  <c r="E82" i="6"/>
  <c r="E83" i="6"/>
  <c r="E84" i="6"/>
  <c r="E85" i="6"/>
  <c r="E86" i="6"/>
  <c r="E87" i="6"/>
  <c r="E88" i="6"/>
  <c r="E89" i="6"/>
  <c r="E90" i="6"/>
  <c r="E91" i="6"/>
  <c r="E92" i="6"/>
  <c r="E93" i="6"/>
  <c r="E94" i="6"/>
  <c r="E95" i="6"/>
  <c r="E96" i="6"/>
  <c r="E80" i="6"/>
  <c r="Y51" i="7" l="1"/>
  <c r="G38" i="7"/>
  <c r="W38" i="7"/>
  <c r="O38" i="7"/>
  <c r="Y38" i="7"/>
  <c r="Q38" i="7"/>
  <c r="I38" i="7"/>
  <c r="N93" i="6"/>
  <c r="O93" i="6" s="1"/>
  <c r="N89" i="6"/>
  <c r="O89" i="6" s="1"/>
  <c r="N85" i="6"/>
  <c r="O85" i="6" s="1"/>
  <c r="N81" i="6"/>
  <c r="O81" i="6" s="1"/>
  <c r="E139" i="6"/>
  <c r="N94" i="6"/>
  <c r="O94" i="6" s="1"/>
  <c r="E135" i="6"/>
  <c r="N90" i="6"/>
  <c r="O90" i="6" s="1"/>
  <c r="E131" i="6"/>
  <c r="N86" i="6"/>
  <c r="O86" i="6" s="1"/>
  <c r="E127" i="6"/>
  <c r="N82" i="6"/>
  <c r="O82" i="6" s="1"/>
  <c r="E125" i="6"/>
  <c r="N80" i="6"/>
  <c r="O80" i="6" s="1"/>
  <c r="E141" i="6"/>
  <c r="N96" i="6"/>
  <c r="O96" i="6" s="1"/>
  <c r="E137" i="6"/>
  <c r="N92" i="6"/>
  <c r="O92" i="6" s="1"/>
  <c r="E133" i="6"/>
  <c r="N88" i="6"/>
  <c r="O88" i="6" s="1"/>
  <c r="E129" i="6"/>
  <c r="N84" i="6"/>
  <c r="O84" i="6" s="1"/>
  <c r="E140" i="6"/>
  <c r="N95" i="6"/>
  <c r="O95" i="6" s="1"/>
  <c r="E136" i="6"/>
  <c r="N91" i="6"/>
  <c r="O91" i="6" s="1"/>
  <c r="E132" i="6"/>
  <c r="N87" i="6"/>
  <c r="O87" i="6" s="1"/>
  <c r="E128" i="6"/>
  <c r="N83" i="6"/>
  <c r="O83" i="6" s="1"/>
  <c r="K128" i="6"/>
  <c r="K143" i="6" s="1"/>
  <c r="L141" i="6"/>
  <c r="O122" i="10"/>
  <c r="L140" i="6"/>
  <c r="O121" i="10"/>
  <c r="L139" i="6"/>
  <c r="O120" i="10"/>
  <c r="L138" i="6"/>
  <c r="O119" i="10"/>
  <c r="L137" i="6"/>
  <c r="O118" i="10"/>
  <c r="L136" i="6"/>
  <c r="O117" i="10"/>
  <c r="L135" i="6"/>
  <c r="O116" i="10"/>
  <c r="L134" i="6"/>
  <c r="O115" i="10"/>
  <c r="L133" i="6"/>
  <c r="O114" i="10"/>
  <c r="L132" i="6"/>
  <c r="O113" i="10"/>
  <c r="L131" i="6"/>
  <c r="O112" i="10"/>
  <c r="L130" i="6"/>
  <c r="O111" i="10"/>
  <c r="L129" i="6"/>
  <c r="O110" i="10"/>
  <c r="L128" i="6"/>
  <c r="O109" i="10"/>
  <c r="L127" i="6"/>
  <c r="O108" i="10"/>
  <c r="L126" i="6"/>
  <c r="O107" i="10"/>
  <c r="L125" i="6"/>
  <c r="O106" i="10"/>
  <c r="M128" i="12"/>
  <c r="M124" i="12"/>
  <c r="M134" i="12"/>
  <c r="M131" i="12"/>
  <c r="M129" i="12"/>
  <c r="M123" i="12"/>
  <c r="M130" i="12"/>
  <c r="M140" i="12"/>
  <c r="M132" i="12"/>
  <c r="M133" i="12"/>
  <c r="M141" i="12"/>
  <c r="M125" i="12"/>
  <c r="M135" i="12"/>
  <c r="M126" i="12"/>
  <c r="M136" i="12"/>
  <c r="M138" i="12"/>
  <c r="M139" i="12"/>
  <c r="G43" i="7"/>
  <c r="I39" i="7"/>
  <c r="K39" i="7" s="1"/>
  <c r="G49" i="7"/>
  <c r="G40" i="7"/>
  <c r="I36" i="7"/>
  <c r="K36" i="7" s="1"/>
  <c r="G47" i="7"/>
  <c r="G35" i="7"/>
  <c r="I34" i="7"/>
  <c r="K34" i="7" s="1"/>
  <c r="O52" i="7"/>
  <c r="G45" i="7"/>
  <c r="I41" i="7"/>
  <c r="K41" i="7" s="1"/>
  <c r="I52" i="7"/>
  <c r="K52" i="7" s="1"/>
  <c r="D38" i="7"/>
  <c r="G37" i="7"/>
  <c r="G51" i="7"/>
  <c r="I48" i="7"/>
  <c r="K48" i="7" s="1"/>
  <c r="I44" i="7"/>
  <c r="K44" i="7" s="1"/>
  <c r="O47" i="7"/>
  <c r="O43" i="7"/>
  <c r="O39" i="7"/>
  <c r="O34" i="7"/>
  <c r="Q47" i="7"/>
  <c r="S47" i="7" s="1"/>
  <c r="Q43" i="7"/>
  <c r="S43" i="7" s="1"/>
  <c r="Q39" i="7"/>
  <c r="S39" i="7" s="1"/>
  <c r="Q34" i="7"/>
  <c r="S34" i="7" s="1"/>
  <c r="W36" i="7"/>
  <c r="G109" i="10" s="1"/>
  <c r="W40" i="7"/>
  <c r="G113" i="10" s="1"/>
  <c r="W44" i="7"/>
  <c r="G117" i="10" s="1"/>
  <c r="W48" i="7"/>
  <c r="G121" i="10" s="1"/>
  <c r="Y37" i="7"/>
  <c r="I110" i="10" s="1"/>
  <c r="Y39" i="7"/>
  <c r="I112" i="10" s="1"/>
  <c r="Y43" i="7"/>
  <c r="I116" i="10" s="1"/>
  <c r="Y47" i="7"/>
  <c r="I120" i="10" s="1"/>
  <c r="Y52" i="7"/>
  <c r="G33" i="7"/>
  <c r="G46" i="7"/>
  <c r="G41" i="7"/>
  <c r="G36" i="7"/>
  <c r="G52" i="7"/>
  <c r="I47" i="7"/>
  <c r="K47" i="7" s="1"/>
  <c r="I43" i="7"/>
  <c r="K43" i="7" s="1"/>
  <c r="I37" i="7"/>
  <c r="K37" i="7" s="1"/>
  <c r="I51" i="7"/>
  <c r="K51" i="7" s="1"/>
  <c r="O33" i="7"/>
  <c r="O46" i="7"/>
  <c r="O37" i="7"/>
  <c r="O51" i="7"/>
  <c r="Q33" i="7"/>
  <c r="S33" i="7" s="1"/>
  <c r="Q46" i="7"/>
  <c r="S46" i="7" s="1"/>
  <c r="Q37" i="7"/>
  <c r="S37" i="7" s="1"/>
  <c r="Q51" i="7"/>
  <c r="S51" i="7" s="1"/>
  <c r="W35" i="7"/>
  <c r="G108" i="10" s="1"/>
  <c r="W41" i="7"/>
  <c r="G114" i="10" s="1"/>
  <c r="W45" i="7"/>
  <c r="G118" i="10" s="1"/>
  <c r="W49" i="7"/>
  <c r="G122" i="10" s="1"/>
  <c r="Y36" i="7"/>
  <c r="I109" i="10" s="1"/>
  <c r="Y40" i="7"/>
  <c r="I113" i="10" s="1"/>
  <c r="Y44" i="7"/>
  <c r="I117" i="10" s="1"/>
  <c r="Y48" i="7"/>
  <c r="I121" i="10" s="1"/>
  <c r="I33" i="7"/>
  <c r="K33" i="7" s="1"/>
  <c r="I46" i="7"/>
  <c r="K46" i="7" s="1"/>
  <c r="O49" i="7"/>
  <c r="O45" i="7"/>
  <c r="O41" i="7"/>
  <c r="O36" i="7"/>
  <c r="Q49" i="7"/>
  <c r="S49" i="7" s="1"/>
  <c r="Q45" i="7"/>
  <c r="S45" i="7" s="1"/>
  <c r="Q41" i="7"/>
  <c r="S41" i="7" s="1"/>
  <c r="Q52" i="7"/>
  <c r="S52" i="7" s="1"/>
  <c r="W33" i="7"/>
  <c r="G106" i="10" s="1"/>
  <c r="W34" i="7"/>
  <c r="G107" i="10" s="1"/>
  <c r="W46" i="7"/>
  <c r="G119" i="10" s="1"/>
  <c r="W51" i="7"/>
  <c r="Y35" i="7"/>
  <c r="I108" i="10" s="1"/>
  <c r="Y45" i="7"/>
  <c r="I118" i="10" s="1"/>
  <c r="Y49" i="7"/>
  <c r="I122" i="10" s="1"/>
  <c r="G48" i="7"/>
  <c r="G44" i="7"/>
  <c r="G39" i="7"/>
  <c r="G34" i="7"/>
  <c r="I40" i="7"/>
  <c r="K40" i="7" s="1"/>
  <c r="I35" i="7"/>
  <c r="K35" i="7" s="1"/>
  <c r="O48" i="7"/>
  <c r="O44" i="7"/>
  <c r="O40" i="7"/>
  <c r="O35" i="7"/>
  <c r="H143" i="6"/>
  <c r="G143" i="6"/>
  <c r="J143" i="6"/>
  <c r="F143" i="6"/>
  <c r="I143" i="6"/>
  <c r="E138" i="6"/>
  <c r="N138" i="6" s="1"/>
  <c r="O138" i="6" s="1"/>
  <c r="E134" i="6"/>
  <c r="N134" i="6" s="1"/>
  <c r="O134" i="6" s="1"/>
  <c r="E130" i="6"/>
  <c r="E126" i="6"/>
  <c r="L120" i="6"/>
  <c r="L98" i="6" s="1"/>
  <c r="H120" i="6"/>
  <c r="H98" i="6" s="1"/>
  <c r="E120" i="6"/>
  <c r="E98" i="6" s="1"/>
  <c r="I120" i="6"/>
  <c r="I98" i="6" s="1"/>
  <c r="F120" i="6"/>
  <c r="F98" i="6" s="1"/>
  <c r="J120" i="6"/>
  <c r="J98" i="6" s="1"/>
  <c r="G120" i="6"/>
  <c r="G98" i="6" s="1"/>
  <c r="K120" i="6"/>
  <c r="K98" i="6" s="1"/>
  <c r="L95" i="1"/>
  <c r="L73" i="1" s="1"/>
  <c r="K95" i="1"/>
  <c r="K73" i="1" s="1"/>
  <c r="J95" i="1"/>
  <c r="J73" i="1" s="1"/>
  <c r="I95" i="1"/>
  <c r="I73" i="1" s="1"/>
  <c r="H95" i="1"/>
  <c r="H73" i="1" s="1"/>
  <c r="G95" i="1"/>
  <c r="G73" i="1" s="1"/>
  <c r="F95" i="1"/>
  <c r="F73" i="1" s="1"/>
  <c r="E95" i="1"/>
  <c r="E73" i="1" s="1"/>
  <c r="M144" i="12" l="1"/>
  <c r="M143" i="12"/>
  <c r="N126" i="6"/>
  <c r="O126" i="6" s="1"/>
  <c r="N130" i="6"/>
  <c r="O130" i="6" s="1"/>
  <c r="N98" i="6"/>
  <c r="O98" i="6" s="1"/>
  <c r="E227" i="11" s="1"/>
  <c r="N132" i="6"/>
  <c r="O132" i="6" s="1"/>
  <c r="N140" i="6"/>
  <c r="O140" i="6" s="1"/>
  <c r="N133" i="6"/>
  <c r="O133" i="6" s="1"/>
  <c r="N141" i="6"/>
  <c r="O141" i="6" s="1"/>
  <c r="N127" i="6"/>
  <c r="O127" i="6" s="1"/>
  <c r="N135" i="6"/>
  <c r="O135" i="6" s="1"/>
  <c r="N128" i="6"/>
  <c r="O128" i="6" s="1"/>
  <c r="N136" i="6"/>
  <c r="O136" i="6" s="1"/>
  <c r="N129" i="6"/>
  <c r="O129" i="6" s="1"/>
  <c r="N137" i="6"/>
  <c r="O137" i="6" s="1"/>
  <c r="N125" i="6"/>
  <c r="O125" i="6" s="1"/>
  <c r="N131" i="6"/>
  <c r="O131" i="6" s="1"/>
  <c r="N139" i="6"/>
  <c r="O139" i="6" s="1"/>
  <c r="L143" i="6"/>
  <c r="O125" i="10"/>
  <c r="O124" i="10"/>
  <c r="E143" i="6"/>
  <c r="N143" i="6" l="1"/>
  <c r="O143" i="6" s="1"/>
  <c r="E211" i="11"/>
  <c r="D211" i="11" s="1"/>
  <c r="E212" i="11"/>
  <c r="D212" i="11" s="1"/>
  <c r="E213" i="11"/>
  <c r="D213" i="11" s="1"/>
  <c r="E214" i="11"/>
  <c r="D214" i="11" s="1"/>
  <c r="E215" i="11"/>
  <c r="D215" i="11" s="1"/>
  <c r="E216" i="11"/>
  <c r="D216" i="11" s="1"/>
  <c r="E217" i="11"/>
  <c r="D217" i="11" s="1"/>
  <c r="E218" i="11"/>
  <c r="D218" i="11" s="1"/>
  <c r="E219" i="11"/>
  <c r="D219" i="11" s="1"/>
  <c r="E220" i="11"/>
  <c r="D220" i="11" s="1"/>
  <c r="E221" i="11"/>
  <c r="D221" i="11" s="1"/>
  <c r="E222" i="11"/>
  <c r="D222" i="11" s="1"/>
  <c r="E223" i="11"/>
  <c r="D223" i="11" s="1"/>
  <c r="E224" i="11"/>
  <c r="D224" i="11" s="1"/>
  <c r="E225" i="11"/>
  <c r="D225" i="11" s="1"/>
  <c r="E226" i="11"/>
  <c r="D226" i="11" s="1"/>
  <c r="E210" i="11"/>
  <c r="D210" i="11" s="1"/>
  <c r="O136" i="12"/>
  <c r="O128" i="12"/>
  <c r="O129" i="12"/>
  <c r="O132" i="12"/>
  <c r="O135" i="12"/>
  <c r="O139" i="12"/>
  <c r="O138" i="12"/>
  <c r="O126" i="12"/>
  <c r="O125" i="12"/>
  <c r="O141" i="12"/>
  <c r="O133" i="12"/>
  <c r="O140" i="12"/>
  <c r="O130" i="12"/>
  <c r="O123" i="12"/>
  <c r="O131" i="12"/>
  <c r="O134" i="12"/>
  <c r="O124" i="12"/>
  <c r="K83" i="8"/>
  <c r="K81" i="8"/>
  <c r="L89" i="8"/>
  <c r="K89" i="8"/>
  <c r="L88" i="8"/>
  <c r="K88" i="8"/>
  <c r="L87" i="8"/>
  <c r="K87" i="8"/>
  <c r="L86" i="8"/>
  <c r="K86" i="8"/>
  <c r="L84" i="8"/>
  <c r="K84" i="8"/>
  <c r="L83" i="8"/>
  <c r="L82" i="8"/>
  <c r="K82" i="8"/>
  <c r="L81" i="8"/>
  <c r="L80" i="8"/>
  <c r="K80" i="8"/>
  <c r="L79" i="8"/>
  <c r="K79" i="8"/>
  <c r="L77" i="8"/>
  <c r="K77" i="8"/>
  <c r="L73" i="8"/>
  <c r="K73" i="8"/>
  <c r="L72" i="8"/>
  <c r="K72" i="8"/>
  <c r="L71" i="8"/>
  <c r="K71" i="8"/>
  <c r="L70" i="8"/>
  <c r="K70" i="8"/>
  <c r="L68" i="8"/>
  <c r="K68" i="8"/>
  <c r="L67" i="8"/>
  <c r="L66" i="8"/>
  <c r="K66" i="8"/>
  <c r="L65" i="8"/>
  <c r="L64" i="8"/>
  <c r="K64" i="8"/>
  <c r="L63" i="8"/>
  <c r="K63" i="8"/>
  <c r="L61" i="8"/>
  <c r="K61" i="8"/>
  <c r="K38" i="8" l="1"/>
  <c r="L38" i="8"/>
  <c r="K39" i="8"/>
  <c r="L39" i="8"/>
  <c r="K40" i="8"/>
  <c r="L40" i="8"/>
  <c r="K41" i="8"/>
  <c r="L41" i="8"/>
  <c r="K42" i="8"/>
  <c r="L42" i="8"/>
  <c r="K43" i="8"/>
  <c r="L43" i="8"/>
  <c r="K44" i="8"/>
  <c r="L44" i="8"/>
  <c r="K45" i="8"/>
  <c r="L45" i="8"/>
  <c r="K46" i="8"/>
  <c r="L46" i="8"/>
  <c r="K47" i="8"/>
  <c r="L47" i="8"/>
  <c r="K48" i="8"/>
  <c r="L48" i="8"/>
  <c r="K13" i="8"/>
  <c r="L13" i="8"/>
  <c r="K14" i="8"/>
  <c r="L14" i="8"/>
  <c r="K15" i="8"/>
  <c r="L15" i="8"/>
  <c r="K16" i="8"/>
  <c r="L16" i="8"/>
  <c r="K17" i="8"/>
  <c r="L17" i="8"/>
  <c r="K18" i="8"/>
  <c r="L18" i="8"/>
  <c r="K19" i="8"/>
  <c r="L19" i="8"/>
  <c r="K20" i="8"/>
  <c r="L20" i="8"/>
  <c r="L54" i="8" l="1"/>
  <c r="K54" i="8"/>
  <c r="L53" i="8"/>
  <c r="K53" i="8"/>
  <c r="L29" i="8"/>
  <c r="K29" i="8"/>
  <c r="L28" i="8"/>
  <c r="K28" i="8"/>
  <c r="F205" i="1" l="1"/>
  <c r="L205" i="1"/>
  <c r="E205" i="1"/>
  <c r="J205" i="1" l="1"/>
  <c r="I205" i="1"/>
  <c r="K205" i="1"/>
  <c r="H205" i="1"/>
  <c r="G205" i="1"/>
  <c r="O198" i="10" l="1"/>
  <c r="O179" i="10"/>
  <c r="O154" i="10"/>
  <c r="O129" i="10"/>
  <c r="O79" i="10"/>
  <c r="H121" i="14" l="1"/>
  <c r="K141" i="1"/>
  <c r="E411" i="6" l="1"/>
  <c r="F411" i="6"/>
  <c r="G411" i="6"/>
  <c r="H411" i="6"/>
  <c r="I411" i="6"/>
  <c r="J411" i="6"/>
  <c r="K411" i="6"/>
  <c r="L411" i="6"/>
  <c r="E412" i="6"/>
  <c r="F412" i="6"/>
  <c r="G412" i="6"/>
  <c r="H412" i="6"/>
  <c r="I412" i="6"/>
  <c r="J412" i="6"/>
  <c r="K412" i="6"/>
  <c r="L412" i="6"/>
  <c r="E413" i="6"/>
  <c r="F413" i="6"/>
  <c r="G413" i="6"/>
  <c r="H413" i="6"/>
  <c r="I413" i="6"/>
  <c r="J413" i="6"/>
  <c r="K413" i="6"/>
  <c r="L413" i="6"/>
  <c r="F410" i="6"/>
  <c r="G410" i="6"/>
  <c r="H410" i="6"/>
  <c r="I410" i="6"/>
  <c r="J410" i="6"/>
  <c r="K410" i="6"/>
  <c r="L410" i="6"/>
  <c r="E410" i="6"/>
  <c r="E403" i="6"/>
  <c r="F403" i="6"/>
  <c r="G403" i="6"/>
  <c r="H403" i="6"/>
  <c r="I403" i="6"/>
  <c r="J403" i="6"/>
  <c r="K403" i="6"/>
  <c r="L403" i="6"/>
  <c r="E404" i="6"/>
  <c r="F404" i="6"/>
  <c r="G404" i="6"/>
  <c r="H404" i="6"/>
  <c r="I404" i="6"/>
  <c r="J404" i="6"/>
  <c r="K404" i="6"/>
  <c r="L404" i="6"/>
  <c r="E405" i="6"/>
  <c r="F405" i="6"/>
  <c r="G405" i="6"/>
  <c r="H405" i="6"/>
  <c r="I405" i="6"/>
  <c r="J405" i="6"/>
  <c r="K405" i="6"/>
  <c r="L405" i="6"/>
  <c r="E406" i="6"/>
  <c r="F406" i="6"/>
  <c r="G406" i="6"/>
  <c r="H406" i="6"/>
  <c r="I406" i="6"/>
  <c r="J406" i="6"/>
  <c r="K406" i="6"/>
  <c r="L406" i="6"/>
  <c r="E407" i="6"/>
  <c r="F407" i="6"/>
  <c r="G407" i="6"/>
  <c r="H407" i="6"/>
  <c r="I407" i="6"/>
  <c r="J407" i="6"/>
  <c r="K407" i="6"/>
  <c r="L407" i="6"/>
  <c r="E408" i="6"/>
  <c r="F408" i="6"/>
  <c r="G408" i="6"/>
  <c r="H408" i="6"/>
  <c r="I408" i="6"/>
  <c r="J408" i="6"/>
  <c r="K408" i="6"/>
  <c r="L408" i="6"/>
  <c r="E409" i="6"/>
  <c r="F409" i="6"/>
  <c r="G409" i="6"/>
  <c r="H409" i="6"/>
  <c r="I409" i="6"/>
  <c r="J409" i="6"/>
  <c r="K409" i="6"/>
  <c r="L409" i="6"/>
  <c r="F402" i="6"/>
  <c r="G402" i="6"/>
  <c r="H402" i="6"/>
  <c r="I402" i="6"/>
  <c r="J402" i="6"/>
  <c r="K402" i="6"/>
  <c r="L402" i="6"/>
  <c r="E402" i="6"/>
  <c r="F401" i="6"/>
  <c r="G401" i="6"/>
  <c r="H401" i="6"/>
  <c r="I401" i="6"/>
  <c r="J401" i="6"/>
  <c r="K401" i="6"/>
  <c r="L401" i="6"/>
  <c r="E401" i="6"/>
  <c r="F400" i="6"/>
  <c r="G400" i="6"/>
  <c r="H400" i="6"/>
  <c r="I400" i="6"/>
  <c r="J400" i="6"/>
  <c r="K400" i="6"/>
  <c r="L400" i="6"/>
  <c r="E400" i="6"/>
  <c r="F399" i="6"/>
  <c r="G399" i="6"/>
  <c r="H399" i="6"/>
  <c r="I399" i="6"/>
  <c r="J399" i="6"/>
  <c r="K399" i="6"/>
  <c r="L399" i="6"/>
  <c r="E399" i="6"/>
  <c r="E398" i="6"/>
  <c r="F398" i="6"/>
  <c r="G398" i="6"/>
  <c r="H398" i="6"/>
  <c r="I398" i="6"/>
  <c r="J398" i="6"/>
  <c r="K398" i="6"/>
  <c r="L398" i="6"/>
  <c r="F397" i="6"/>
  <c r="G397" i="6"/>
  <c r="H397" i="6"/>
  <c r="I397" i="6"/>
  <c r="J397" i="6"/>
  <c r="K397" i="6"/>
  <c r="L397" i="6"/>
  <c r="E397" i="6"/>
  <c r="F377" i="6"/>
  <c r="G377" i="6"/>
  <c r="H377" i="6"/>
  <c r="I377" i="6"/>
  <c r="J377" i="6"/>
  <c r="K377" i="6"/>
  <c r="L377" i="6"/>
  <c r="E377" i="6"/>
  <c r="J379" i="6"/>
  <c r="F379" i="6"/>
  <c r="G379" i="6"/>
  <c r="H379" i="6"/>
  <c r="I379" i="6"/>
  <c r="K379" i="6"/>
  <c r="L379" i="6"/>
  <c r="E379" i="6"/>
  <c r="N379" i="6" l="1"/>
  <c r="N398" i="6"/>
  <c r="O443" i="6" s="1"/>
  <c r="N377" i="6"/>
  <c r="N397" i="6"/>
  <c r="O442" i="6" s="1"/>
  <c r="N399" i="6"/>
  <c r="O444" i="6" s="1"/>
  <c r="N400" i="6"/>
  <c r="O445" i="6" s="1"/>
  <c r="N401" i="6"/>
  <c r="O446" i="6" s="1"/>
  <c r="N402" i="6"/>
  <c r="O447" i="6" s="1"/>
  <c r="N410" i="6"/>
  <c r="O455" i="6" s="1"/>
  <c r="N409" i="6"/>
  <c r="O454" i="6" s="1"/>
  <c r="N408" i="6"/>
  <c r="O453" i="6" s="1"/>
  <c r="N407" i="6"/>
  <c r="O452" i="6" s="1"/>
  <c r="N406" i="6"/>
  <c r="O451" i="6" s="1"/>
  <c r="N405" i="6"/>
  <c r="O450" i="6" s="1"/>
  <c r="N404" i="6"/>
  <c r="O449" i="6" s="1"/>
  <c r="N403" i="6"/>
  <c r="O448" i="6" s="1"/>
  <c r="N413" i="6"/>
  <c r="O458" i="6" s="1"/>
  <c r="N412" i="6"/>
  <c r="O457" i="6" s="1"/>
  <c r="N411" i="6"/>
  <c r="O456" i="6" s="1"/>
  <c r="J382" i="6"/>
  <c r="J375" i="6"/>
  <c r="E100" i="11" l="1"/>
  <c r="D100" i="11" s="1"/>
  <c r="E104" i="11"/>
  <c r="D104" i="11" s="1"/>
  <c r="E108" i="11"/>
  <c r="D108" i="11" s="1"/>
  <c r="E112" i="11"/>
  <c r="D112" i="11" s="1"/>
  <c r="E101" i="11"/>
  <c r="D101" i="11" s="1"/>
  <c r="E105" i="11"/>
  <c r="D105" i="11" s="1"/>
  <c r="E109" i="11"/>
  <c r="D109" i="11" s="1"/>
  <c r="E113" i="11"/>
  <c r="D113" i="11" s="1"/>
  <c r="E102" i="11"/>
  <c r="D102" i="11" s="1"/>
  <c r="E106" i="11"/>
  <c r="D106" i="11" s="1"/>
  <c r="E110" i="11"/>
  <c r="D110" i="11" s="1"/>
  <c r="E114" i="11"/>
  <c r="D114" i="11" s="1"/>
  <c r="E103" i="11"/>
  <c r="D103" i="11" s="1"/>
  <c r="E107" i="11"/>
  <c r="D107" i="11" s="1"/>
  <c r="E99" i="11"/>
  <c r="D99" i="11" s="1"/>
  <c r="E111" i="11"/>
  <c r="D111" i="11" s="1"/>
  <c r="E98" i="11"/>
  <c r="D98" i="11" s="1"/>
  <c r="N423" i="6"/>
  <c r="N421" i="6"/>
  <c r="D6" i="19"/>
  <c r="D7" i="19"/>
  <c r="D5" i="19"/>
  <c r="F118" i="18" l="1"/>
  <c r="AP121" i="12" l="1"/>
  <c r="AI121" i="12"/>
  <c r="AB121" i="12"/>
  <c r="U121" i="12"/>
  <c r="N121" i="12"/>
  <c r="G121" i="12"/>
  <c r="G92" i="12"/>
  <c r="G63" i="12"/>
  <c r="L6" i="12"/>
  <c r="AN121" i="12"/>
  <c r="AG121" i="12"/>
  <c r="S121" i="12"/>
  <c r="L121" i="12"/>
  <c r="E121" i="12"/>
  <c r="E92" i="12"/>
  <c r="N6" i="12"/>
  <c r="Z121" i="12"/>
  <c r="G6" i="12"/>
  <c r="E6" i="12"/>
  <c r="F163" i="11"/>
  <c r="F341" i="11"/>
  <c r="F141" i="11"/>
  <c r="F209" i="11"/>
  <c r="Q124" i="6"/>
  <c r="Q79" i="6"/>
  <c r="Q319" i="6"/>
  <c r="Q267" i="6"/>
  <c r="Q149" i="6"/>
  <c r="Q300" i="6"/>
  <c r="Q242" i="6"/>
  <c r="Q194" i="6"/>
  <c r="Q334" i="6"/>
  <c r="Q219" i="6"/>
  <c r="Q54" i="6"/>
  <c r="Q9" i="6"/>
  <c r="Q94" i="6"/>
  <c r="R94" i="6" s="1"/>
  <c r="F213" i="11" s="1"/>
  <c r="Q92" i="6"/>
  <c r="R92" i="6" s="1"/>
  <c r="F219" i="11" s="1"/>
  <c r="Q96" i="6"/>
  <c r="R96" i="6" s="1"/>
  <c r="F211" i="11" s="1"/>
  <c r="Q91" i="6"/>
  <c r="R91" i="6" s="1"/>
  <c r="F220" i="11" s="1"/>
  <c r="Q89" i="6"/>
  <c r="R89" i="6" s="1"/>
  <c r="F223" i="11" s="1"/>
  <c r="Q90" i="6"/>
  <c r="R90" i="6" s="1"/>
  <c r="F216" i="11" s="1"/>
  <c r="Q88" i="6"/>
  <c r="R88" i="6" s="1"/>
  <c r="F225" i="11" s="1"/>
  <c r="Q87" i="6"/>
  <c r="R87" i="6" s="1"/>
  <c r="F212" i="11" s="1"/>
  <c r="Q85" i="6"/>
  <c r="R85" i="6" s="1"/>
  <c r="F224" i="11" s="1"/>
  <c r="Q86" i="6"/>
  <c r="R86" i="6" s="1"/>
  <c r="F210" i="11" s="1"/>
  <c r="Q84" i="6"/>
  <c r="R84" i="6" s="1"/>
  <c r="F222" i="11" s="1"/>
  <c r="Q83" i="6"/>
  <c r="R83" i="6" s="1"/>
  <c r="F218" i="11" s="1"/>
  <c r="Q81" i="6"/>
  <c r="R81" i="6" s="1"/>
  <c r="F226" i="11" s="1"/>
  <c r="Q82" i="6"/>
  <c r="R82" i="6" s="1"/>
  <c r="F221" i="11" s="1"/>
  <c r="Q80" i="6"/>
  <c r="R80" i="6" s="1"/>
  <c r="F214" i="11" s="1"/>
  <c r="Q95" i="6"/>
  <c r="R95" i="6" s="1"/>
  <c r="F215" i="11" s="1"/>
  <c r="Q93" i="6"/>
  <c r="R93" i="6" s="1"/>
  <c r="F217" i="11" s="1"/>
  <c r="Q126" i="6"/>
  <c r="R126" i="6" s="1"/>
  <c r="Q136" i="6"/>
  <c r="R136" i="6" s="1"/>
  <c r="Q127" i="6"/>
  <c r="R127" i="6" s="1"/>
  <c r="Q135" i="6"/>
  <c r="R135" i="6" s="1"/>
  <c r="Q98" i="6"/>
  <c r="R98" i="6" s="1"/>
  <c r="F227" i="11" s="1"/>
  <c r="Q130" i="6"/>
  <c r="R130" i="6" s="1"/>
  <c r="Q138" i="6"/>
  <c r="R138" i="6" s="1"/>
  <c r="Q129" i="6"/>
  <c r="R129" i="6" s="1"/>
  <c r="Q137" i="6"/>
  <c r="R137" i="6" s="1"/>
  <c r="Q132" i="6"/>
  <c r="R132" i="6" s="1"/>
  <c r="Q140" i="6"/>
  <c r="R140" i="6" s="1"/>
  <c r="Q131" i="6"/>
  <c r="R131" i="6" s="1"/>
  <c r="Q139" i="6"/>
  <c r="R139" i="6" s="1"/>
  <c r="Q128" i="6"/>
  <c r="R128" i="6" s="1"/>
  <c r="Q134" i="6"/>
  <c r="R134" i="6" s="1"/>
  <c r="Q125" i="6"/>
  <c r="R125" i="6" s="1"/>
  <c r="Q133" i="6"/>
  <c r="R133" i="6" s="1"/>
  <c r="Q141" i="6"/>
  <c r="R141" i="6" s="1"/>
  <c r="Q143" i="6"/>
  <c r="R143" i="6" s="1"/>
  <c r="D105" i="10"/>
  <c r="C54" i="15"/>
  <c r="C32" i="15"/>
  <c r="E228" i="16"/>
  <c r="F228" i="16"/>
  <c r="G228" i="16"/>
  <c r="H228" i="16"/>
  <c r="I228" i="16"/>
  <c r="E229" i="16"/>
  <c r="F229" i="16"/>
  <c r="G229" i="16"/>
  <c r="H229" i="16"/>
  <c r="I229" i="16"/>
  <c r="E230" i="16"/>
  <c r="F230" i="16"/>
  <c r="G230" i="16"/>
  <c r="H230" i="16"/>
  <c r="I230" i="16"/>
  <c r="E231" i="16"/>
  <c r="F231" i="16"/>
  <c r="G231" i="16"/>
  <c r="H231" i="16"/>
  <c r="I231" i="16"/>
  <c r="E232" i="16"/>
  <c r="F232" i="16"/>
  <c r="G232" i="16"/>
  <c r="H232" i="16"/>
  <c r="I232" i="16"/>
  <c r="E233" i="16"/>
  <c r="F233" i="16"/>
  <c r="G233" i="16"/>
  <c r="H233" i="16"/>
  <c r="I233" i="16"/>
  <c r="E234" i="16"/>
  <c r="F234" i="16"/>
  <c r="G234" i="16"/>
  <c r="H234" i="16"/>
  <c r="I234" i="16"/>
  <c r="E235" i="16"/>
  <c r="F235" i="16"/>
  <c r="G235" i="16"/>
  <c r="H235" i="16"/>
  <c r="I235" i="16"/>
  <c r="E236" i="16"/>
  <c r="F236" i="16"/>
  <c r="G236" i="16"/>
  <c r="H236" i="16"/>
  <c r="I236" i="16"/>
  <c r="E237" i="16"/>
  <c r="F237" i="16"/>
  <c r="G237" i="16"/>
  <c r="H237" i="16"/>
  <c r="I237" i="16"/>
  <c r="E238" i="16"/>
  <c r="F238" i="16"/>
  <c r="G238" i="16"/>
  <c r="H238" i="16"/>
  <c r="I238" i="16"/>
  <c r="E239" i="16"/>
  <c r="F239" i="16"/>
  <c r="G239" i="16"/>
  <c r="H239" i="16"/>
  <c r="I239" i="16"/>
  <c r="E240" i="16"/>
  <c r="F240" i="16"/>
  <c r="G240" i="16"/>
  <c r="H240" i="16"/>
  <c r="I240" i="16"/>
  <c r="E241" i="16"/>
  <c r="F241" i="16"/>
  <c r="G241" i="16"/>
  <c r="H241" i="16"/>
  <c r="I241" i="16"/>
  <c r="E242" i="16"/>
  <c r="F242" i="16"/>
  <c r="G242" i="16"/>
  <c r="H242" i="16"/>
  <c r="I242" i="16"/>
  <c r="E243" i="16"/>
  <c r="F243" i="16"/>
  <c r="G243" i="16"/>
  <c r="H243" i="16"/>
  <c r="I243" i="16"/>
  <c r="F227" i="16"/>
  <c r="G227" i="16"/>
  <c r="H227" i="16"/>
  <c r="I227" i="16"/>
  <c r="E227" i="16"/>
  <c r="F187" i="16"/>
  <c r="G187" i="16"/>
  <c r="H187" i="16"/>
  <c r="I187" i="16"/>
  <c r="F188" i="16"/>
  <c r="G188" i="16"/>
  <c r="H188" i="16"/>
  <c r="I188" i="16"/>
  <c r="F189" i="16"/>
  <c r="G189" i="16"/>
  <c r="H189" i="16"/>
  <c r="I189" i="16"/>
  <c r="F190" i="16"/>
  <c r="G190" i="16"/>
  <c r="H190" i="16"/>
  <c r="I190" i="16"/>
  <c r="F191" i="16"/>
  <c r="G191" i="16"/>
  <c r="H191" i="16"/>
  <c r="I191" i="16"/>
  <c r="F192" i="16"/>
  <c r="G192" i="16"/>
  <c r="H192" i="16"/>
  <c r="I192" i="16"/>
  <c r="F193" i="16"/>
  <c r="G193" i="16"/>
  <c r="H193" i="16"/>
  <c r="I193" i="16"/>
  <c r="F194" i="16"/>
  <c r="G194" i="16"/>
  <c r="H194" i="16"/>
  <c r="I194" i="16"/>
  <c r="F195" i="16"/>
  <c r="G195" i="16"/>
  <c r="H195" i="16"/>
  <c r="I195" i="16"/>
  <c r="F196" i="16"/>
  <c r="G196" i="16"/>
  <c r="H196" i="16"/>
  <c r="I196" i="16"/>
  <c r="F197" i="16"/>
  <c r="G197" i="16"/>
  <c r="H197" i="16"/>
  <c r="I197" i="16"/>
  <c r="F198" i="16"/>
  <c r="G198" i="16"/>
  <c r="H198" i="16"/>
  <c r="I198" i="16"/>
  <c r="F199" i="16"/>
  <c r="G199" i="16"/>
  <c r="H199" i="16"/>
  <c r="I199" i="16"/>
  <c r="F200" i="16"/>
  <c r="G200" i="16"/>
  <c r="H200" i="16"/>
  <c r="I200" i="16"/>
  <c r="F201" i="16"/>
  <c r="G201" i="16"/>
  <c r="H201" i="16"/>
  <c r="I201" i="16"/>
  <c r="F202" i="16"/>
  <c r="G202" i="16"/>
  <c r="H202" i="16"/>
  <c r="I202" i="16"/>
  <c r="F203" i="16"/>
  <c r="G203" i="16"/>
  <c r="H203" i="16"/>
  <c r="I203" i="16"/>
  <c r="E188" i="16"/>
  <c r="E189" i="16"/>
  <c r="E190" i="16"/>
  <c r="E191" i="16"/>
  <c r="E192" i="16"/>
  <c r="E193" i="16"/>
  <c r="E194" i="16"/>
  <c r="E195" i="16"/>
  <c r="E196" i="16"/>
  <c r="E197" i="16"/>
  <c r="E198" i="16"/>
  <c r="E199" i="16"/>
  <c r="E200" i="16"/>
  <c r="E201" i="16"/>
  <c r="E202" i="16"/>
  <c r="E203" i="16"/>
  <c r="E187" i="16"/>
  <c r="I163" i="16"/>
  <c r="H163" i="16"/>
  <c r="G163" i="16"/>
  <c r="F163" i="16"/>
  <c r="E163" i="16"/>
  <c r="I162" i="16"/>
  <c r="H162" i="16"/>
  <c r="G162" i="16"/>
  <c r="F162" i="16"/>
  <c r="E162" i="16"/>
  <c r="I161" i="16"/>
  <c r="H161" i="16"/>
  <c r="G161" i="16"/>
  <c r="F161" i="16"/>
  <c r="E161" i="16"/>
  <c r="I160" i="16"/>
  <c r="H160" i="16"/>
  <c r="G160" i="16"/>
  <c r="F160" i="16"/>
  <c r="E160" i="16"/>
  <c r="I159" i="16"/>
  <c r="H159" i="16"/>
  <c r="G159" i="16"/>
  <c r="F159" i="16"/>
  <c r="E159" i="16"/>
  <c r="I158" i="16"/>
  <c r="H158" i="16"/>
  <c r="G158" i="16"/>
  <c r="F158" i="16"/>
  <c r="E158" i="16"/>
  <c r="I157" i="16"/>
  <c r="H157" i="16"/>
  <c r="G157" i="16"/>
  <c r="F157" i="16"/>
  <c r="E157" i="16"/>
  <c r="I156" i="16"/>
  <c r="H156" i="16"/>
  <c r="G156" i="16"/>
  <c r="F156" i="16"/>
  <c r="E156" i="16"/>
  <c r="I155" i="16"/>
  <c r="H155" i="16"/>
  <c r="G155" i="16"/>
  <c r="F155" i="16"/>
  <c r="E155" i="16"/>
  <c r="I154" i="16"/>
  <c r="H154" i="16"/>
  <c r="G154" i="16"/>
  <c r="F154" i="16"/>
  <c r="E154" i="16"/>
  <c r="I153" i="16"/>
  <c r="H153" i="16"/>
  <c r="G153" i="16"/>
  <c r="F153" i="16"/>
  <c r="E153" i="16"/>
  <c r="I152" i="16"/>
  <c r="H152" i="16"/>
  <c r="G152" i="16"/>
  <c r="F152" i="16"/>
  <c r="E152" i="16"/>
  <c r="I151" i="16"/>
  <c r="H151" i="16"/>
  <c r="G151" i="16"/>
  <c r="F151" i="16"/>
  <c r="E151" i="16"/>
  <c r="I150" i="16"/>
  <c r="H150" i="16"/>
  <c r="G150" i="16"/>
  <c r="F150" i="16"/>
  <c r="E150" i="16"/>
  <c r="I149" i="16"/>
  <c r="H149" i="16"/>
  <c r="G149" i="16"/>
  <c r="F149" i="16"/>
  <c r="E149" i="16"/>
  <c r="I148" i="16"/>
  <c r="H148" i="16"/>
  <c r="G148" i="16"/>
  <c r="F148" i="16"/>
  <c r="E148" i="16"/>
  <c r="I147" i="16"/>
  <c r="H147" i="16"/>
  <c r="G147" i="16"/>
  <c r="F147" i="16"/>
  <c r="E147" i="16"/>
  <c r="E128" i="16"/>
  <c r="F128" i="16"/>
  <c r="G128" i="16"/>
  <c r="H128" i="16"/>
  <c r="I128" i="16"/>
  <c r="E129" i="16"/>
  <c r="F129" i="16"/>
  <c r="G129" i="16"/>
  <c r="H129" i="16"/>
  <c r="I129" i="16"/>
  <c r="E130" i="16"/>
  <c r="F130" i="16"/>
  <c r="G130" i="16"/>
  <c r="H130" i="16"/>
  <c r="I130" i="16"/>
  <c r="E131" i="16"/>
  <c r="F131" i="16"/>
  <c r="G131" i="16"/>
  <c r="H131" i="16"/>
  <c r="I131" i="16"/>
  <c r="E132" i="16"/>
  <c r="F132" i="16"/>
  <c r="G132" i="16"/>
  <c r="H132" i="16"/>
  <c r="I132" i="16"/>
  <c r="E133" i="16"/>
  <c r="F133" i="16"/>
  <c r="G133" i="16"/>
  <c r="H133" i="16"/>
  <c r="I133" i="16"/>
  <c r="E134" i="16"/>
  <c r="F134" i="16"/>
  <c r="G134" i="16"/>
  <c r="H134" i="16"/>
  <c r="I134" i="16"/>
  <c r="E135" i="16"/>
  <c r="F135" i="16"/>
  <c r="G135" i="16"/>
  <c r="H135" i="16"/>
  <c r="I135" i="16"/>
  <c r="E136" i="16"/>
  <c r="F136" i="16"/>
  <c r="G136" i="16"/>
  <c r="H136" i="16"/>
  <c r="I136" i="16"/>
  <c r="E137" i="16"/>
  <c r="F137" i="16"/>
  <c r="G137" i="16"/>
  <c r="H137" i="16"/>
  <c r="I137" i="16"/>
  <c r="E138" i="16"/>
  <c r="F138" i="16"/>
  <c r="G138" i="16"/>
  <c r="H138" i="16"/>
  <c r="I138" i="16"/>
  <c r="E139" i="16"/>
  <c r="F139" i="16"/>
  <c r="G139" i="16"/>
  <c r="H139" i="16"/>
  <c r="I139" i="16"/>
  <c r="E140" i="16"/>
  <c r="F140" i="16"/>
  <c r="G140" i="16"/>
  <c r="H140" i="16"/>
  <c r="I140" i="16"/>
  <c r="E141" i="16"/>
  <c r="F141" i="16"/>
  <c r="G141" i="16"/>
  <c r="H141" i="16"/>
  <c r="I141" i="16"/>
  <c r="E142" i="16"/>
  <c r="F142" i="16"/>
  <c r="G142" i="16"/>
  <c r="H142" i="16"/>
  <c r="I142" i="16"/>
  <c r="E143" i="16"/>
  <c r="F143" i="16"/>
  <c r="G143" i="16"/>
  <c r="H143" i="16"/>
  <c r="I143" i="16"/>
  <c r="F127" i="16"/>
  <c r="G127" i="16"/>
  <c r="H127" i="16"/>
  <c r="I127" i="16"/>
  <c r="E127" i="16"/>
  <c r="I101" i="16"/>
  <c r="H101" i="16"/>
  <c r="G101" i="16"/>
  <c r="F101" i="16"/>
  <c r="E101" i="16"/>
  <c r="I100" i="16"/>
  <c r="H100" i="16"/>
  <c r="G100" i="16"/>
  <c r="F100" i="16"/>
  <c r="E100" i="16"/>
  <c r="I99" i="16"/>
  <c r="H99" i="16"/>
  <c r="G99" i="16"/>
  <c r="F99" i="16"/>
  <c r="E99" i="16"/>
  <c r="I98" i="16"/>
  <c r="H98" i="16"/>
  <c r="G98" i="16"/>
  <c r="F98" i="16"/>
  <c r="E98" i="16"/>
  <c r="I97" i="16"/>
  <c r="H97" i="16"/>
  <c r="G97" i="16"/>
  <c r="F97" i="16"/>
  <c r="E97" i="16"/>
  <c r="I96" i="16"/>
  <c r="H96" i="16"/>
  <c r="G96" i="16"/>
  <c r="F96" i="16"/>
  <c r="E96" i="16"/>
  <c r="I95" i="16"/>
  <c r="H95" i="16"/>
  <c r="G95" i="16"/>
  <c r="F95" i="16"/>
  <c r="E95" i="16"/>
  <c r="I94" i="16"/>
  <c r="H94" i="16"/>
  <c r="G94" i="16"/>
  <c r="F94" i="16"/>
  <c r="E94" i="16"/>
  <c r="I93" i="16"/>
  <c r="H93" i="16"/>
  <c r="G93" i="16"/>
  <c r="F93" i="16"/>
  <c r="E93" i="16"/>
  <c r="I92" i="16"/>
  <c r="H92" i="16"/>
  <c r="G92" i="16"/>
  <c r="F92" i="16"/>
  <c r="E92" i="16"/>
  <c r="I91" i="16"/>
  <c r="H91" i="16"/>
  <c r="G91" i="16"/>
  <c r="F91" i="16"/>
  <c r="E91" i="16"/>
  <c r="I87" i="16"/>
  <c r="H87" i="16"/>
  <c r="G87" i="16"/>
  <c r="F87" i="16"/>
  <c r="E87" i="16"/>
  <c r="I86" i="16"/>
  <c r="H86" i="16"/>
  <c r="G86" i="16"/>
  <c r="F86" i="16"/>
  <c r="E86" i="16"/>
  <c r="I85" i="16"/>
  <c r="H85" i="16"/>
  <c r="G85" i="16"/>
  <c r="F85" i="16"/>
  <c r="E85" i="16"/>
  <c r="I84" i="16"/>
  <c r="H84" i="16"/>
  <c r="G84" i="16"/>
  <c r="F84" i="16"/>
  <c r="E84" i="16"/>
  <c r="I83" i="16"/>
  <c r="H83" i="16"/>
  <c r="G83" i="16"/>
  <c r="F83" i="16"/>
  <c r="E83" i="16"/>
  <c r="I82" i="16"/>
  <c r="H82" i="16"/>
  <c r="G82" i="16"/>
  <c r="F82" i="16"/>
  <c r="E82" i="16"/>
  <c r="I81" i="16"/>
  <c r="H81" i="16"/>
  <c r="G81" i="16"/>
  <c r="F81" i="16"/>
  <c r="E81" i="16"/>
  <c r="I80" i="16"/>
  <c r="H80" i="16"/>
  <c r="G80" i="16"/>
  <c r="F80" i="16"/>
  <c r="E80" i="16"/>
  <c r="I79" i="16"/>
  <c r="H79" i="16"/>
  <c r="G79" i="16"/>
  <c r="F79" i="16"/>
  <c r="E79" i="16"/>
  <c r="I78" i="16"/>
  <c r="H78" i="16"/>
  <c r="G78" i="16"/>
  <c r="F78" i="16"/>
  <c r="E78" i="16"/>
  <c r="I77" i="16"/>
  <c r="H77" i="16"/>
  <c r="G77" i="16"/>
  <c r="F77" i="16"/>
  <c r="E77" i="16"/>
  <c r="E68" i="16"/>
  <c r="F68" i="16"/>
  <c r="G68" i="16"/>
  <c r="H68" i="16"/>
  <c r="I68" i="16"/>
  <c r="E69" i="16"/>
  <c r="F69" i="16"/>
  <c r="G69" i="16"/>
  <c r="H69" i="16"/>
  <c r="I69" i="16"/>
  <c r="E70" i="16"/>
  <c r="F70" i="16"/>
  <c r="G70" i="16"/>
  <c r="H70" i="16"/>
  <c r="I70" i="16"/>
  <c r="E71" i="16"/>
  <c r="F71" i="16"/>
  <c r="G71" i="16"/>
  <c r="H71" i="16"/>
  <c r="I71" i="16"/>
  <c r="E72" i="16"/>
  <c r="F72" i="16"/>
  <c r="G72" i="16"/>
  <c r="H72" i="16"/>
  <c r="I72" i="16"/>
  <c r="E73" i="16"/>
  <c r="F73" i="16"/>
  <c r="G73" i="16"/>
  <c r="H73" i="16"/>
  <c r="I73" i="16"/>
  <c r="I67" i="16"/>
  <c r="H67" i="16"/>
  <c r="G67" i="16"/>
  <c r="F67" i="16"/>
  <c r="E67" i="16"/>
  <c r="I66" i="16"/>
  <c r="H66" i="16"/>
  <c r="G66" i="16"/>
  <c r="F66" i="16"/>
  <c r="E66" i="16"/>
  <c r="I65" i="16"/>
  <c r="H65" i="16"/>
  <c r="G65" i="16"/>
  <c r="F65" i="16"/>
  <c r="E65" i="16"/>
  <c r="I64" i="16"/>
  <c r="H64" i="16"/>
  <c r="G64" i="16"/>
  <c r="F64" i="16"/>
  <c r="E64" i="16"/>
  <c r="I63" i="16"/>
  <c r="H63" i="16"/>
  <c r="G63" i="16"/>
  <c r="F63" i="16"/>
  <c r="E63" i="16"/>
  <c r="I62" i="16"/>
  <c r="H62" i="16"/>
  <c r="G62" i="16"/>
  <c r="F62" i="16"/>
  <c r="E62" i="16"/>
  <c r="I61" i="16"/>
  <c r="H61" i="16"/>
  <c r="G61" i="16"/>
  <c r="F61" i="16"/>
  <c r="E61" i="16"/>
  <c r="I60" i="16"/>
  <c r="H60" i="16"/>
  <c r="G60" i="16"/>
  <c r="F60" i="16"/>
  <c r="E60" i="16"/>
  <c r="I59" i="16"/>
  <c r="H59" i="16"/>
  <c r="G59" i="16"/>
  <c r="F59" i="16"/>
  <c r="E59" i="16"/>
  <c r="I58" i="16"/>
  <c r="H58" i="16"/>
  <c r="G58" i="16"/>
  <c r="F58" i="16"/>
  <c r="E58" i="16"/>
  <c r="I57" i="16"/>
  <c r="H57" i="16"/>
  <c r="G57" i="16"/>
  <c r="F57" i="16"/>
  <c r="E57" i="16"/>
  <c r="I53" i="16"/>
  <c r="H53" i="16"/>
  <c r="G53" i="16"/>
  <c r="F53" i="16"/>
  <c r="E53" i="16"/>
  <c r="I52" i="16"/>
  <c r="H52" i="16"/>
  <c r="G52" i="16"/>
  <c r="F52" i="16"/>
  <c r="E52" i="16"/>
  <c r="I51" i="16"/>
  <c r="H51" i="16"/>
  <c r="G51" i="16"/>
  <c r="F51" i="16"/>
  <c r="E51" i="16"/>
  <c r="I50" i="16"/>
  <c r="H50" i="16"/>
  <c r="G50" i="16"/>
  <c r="F50" i="16"/>
  <c r="E50" i="16"/>
  <c r="I49" i="16"/>
  <c r="H49" i="16"/>
  <c r="G49" i="16"/>
  <c r="F49" i="16"/>
  <c r="E49" i="16"/>
  <c r="I48" i="16"/>
  <c r="H48" i="16"/>
  <c r="G48" i="16"/>
  <c r="F48" i="16"/>
  <c r="E48" i="16"/>
  <c r="I47" i="16"/>
  <c r="H47" i="16"/>
  <c r="G47" i="16"/>
  <c r="F47" i="16"/>
  <c r="E47" i="16"/>
  <c r="I46" i="16"/>
  <c r="H46" i="16"/>
  <c r="G46" i="16"/>
  <c r="F46" i="16"/>
  <c r="E46" i="16"/>
  <c r="I45" i="16"/>
  <c r="H45" i="16"/>
  <c r="G45" i="16"/>
  <c r="F45" i="16"/>
  <c r="E45" i="16"/>
  <c r="I44" i="16"/>
  <c r="H44" i="16"/>
  <c r="G44" i="16"/>
  <c r="F44" i="16"/>
  <c r="E44" i="16"/>
  <c r="I43" i="16"/>
  <c r="H43" i="16"/>
  <c r="G43" i="16"/>
  <c r="F43" i="16"/>
  <c r="E43" i="16"/>
  <c r="I39" i="16"/>
  <c r="H39" i="16"/>
  <c r="G39" i="16"/>
  <c r="F39" i="16"/>
  <c r="E39" i="16"/>
  <c r="I38" i="16"/>
  <c r="H38" i="16"/>
  <c r="G38" i="16"/>
  <c r="F38" i="16"/>
  <c r="E38" i="16"/>
  <c r="I37" i="16"/>
  <c r="H37" i="16"/>
  <c r="G37" i="16"/>
  <c r="F37" i="16"/>
  <c r="E37" i="16"/>
  <c r="I36" i="16"/>
  <c r="H36" i="16"/>
  <c r="G36" i="16"/>
  <c r="F36" i="16"/>
  <c r="E36" i="16"/>
  <c r="I35" i="16"/>
  <c r="H35" i="16"/>
  <c r="G35" i="16"/>
  <c r="F35" i="16"/>
  <c r="E35" i="16"/>
  <c r="I34" i="16"/>
  <c r="H34" i="16"/>
  <c r="G34" i="16"/>
  <c r="F34" i="16"/>
  <c r="E34" i="16"/>
  <c r="I33" i="16"/>
  <c r="H33" i="16"/>
  <c r="G33" i="16"/>
  <c r="F33" i="16"/>
  <c r="E33" i="16"/>
  <c r="I32" i="16"/>
  <c r="H32" i="16"/>
  <c r="G32" i="16"/>
  <c r="F32" i="16"/>
  <c r="E32" i="16"/>
  <c r="I31" i="16"/>
  <c r="H31" i="16"/>
  <c r="G31" i="16"/>
  <c r="F31" i="16"/>
  <c r="E31" i="16"/>
  <c r="I30" i="16"/>
  <c r="H30" i="16"/>
  <c r="G30" i="16"/>
  <c r="F30" i="16"/>
  <c r="E30" i="16"/>
  <c r="I29" i="16"/>
  <c r="H29" i="16"/>
  <c r="G29" i="16"/>
  <c r="F29" i="16"/>
  <c r="E29" i="16"/>
  <c r="E24" i="16"/>
  <c r="E22" i="16"/>
  <c r="E16" i="16"/>
  <c r="E14" i="16"/>
  <c r="F11" i="16"/>
  <c r="G9" i="16"/>
  <c r="F10" i="16"/>
  <c r="G11" i="16"/>
  <c r="G13" i="16"/>
  <c r="G15" i="16"/>
  <c r="G17" i="16"/>
  <c r="H17" i="16"/>
  <c r="F18" i="16"/>
  <c r="G19" i="16"/>
  <c r="H20" i="16"/>
  <c r="G21" i="16"/>
  <c r="G23" i="16"/>
  <c r="G25" i="16"/>
  <c r="H25" i="16"/>
  <c r="E10" i="16"/>
  <c r="E18" i="16"/>
  <c r="E19" i="16"/>
  <c r="E23" i="16"/>
  <c r="E25" i="16"/>
  <c r="F9" i="16"/>
  <c r="I9" i="16"/>
  <c r="G10" i="16"/>
  <c r="H10" i="16"/>
  <c r="I10" i="16"/>
  <c r="H11" i="16"/>
  <c r="I11" i="16"/>
  <c r="F12" i="16"/>
  <c r="G12" i="16"/>
  <c r="H12" i="16"/>
  <c r="I12" i="16"/>
  <c r="F13" i="16"/>
  <c r="H13" i="16"/>
  <c r="I13" i="16"/>
  <c r="F14" i="16"/>
  <c r="G14" i="16"/>
  <c r="H14" i="16"/>
  <c r="I14" i="16"/>
  <c r="H15" i="16"/>
  <c r="I15" i="16"/>
  <c r="F16" i="16"/>
  <c r="G16" i="16"/>
  <c r="H16" i="16"/>
  <c r="I16" i="16"/>
  <c r="F17" i="16"/>
  <c r="I17" i="16"/>
  <c r="G18" i="16"/>
  <c r="H18" i="16"/>
  <c r="I18" i="16"/>
  <c r="F19" i="16"/>
  <c r="H19" i="16"/>
  <c r="I19" i="16"/>
  <c r="F20" i="16"/>
  <c r="G20" i="16"/>
  <c r="I20" i="16"/>
  <c r="F21" i="16"/>
  <c r="F117" i="16" s="1"/>
  <c r="H21" i="16"/>
  <c r="I21" i="16"/>
  <c r="F22" i="16"/>
  <c r="G22" i="16"/>
  <c r="H22" i="16"/>
  <c r="I22" i="16"/>
  <c r="H23" i="16"/>
  <c r="I23" i="16"/>
  <c r="F24" i="16"/>
  <c r="G24" i="16"/>
  <c r="H24" i="16"/>
  <c r="I24" i="16"/>
  <c r="F25" i="16"/>
  <c r="I25" i="16"/>
  <c r="E13" i="16"/>
  <c r="E17" i="16"/>
  <c r="E21" i="16"/>
  <c r="I116" i="16" l="1"/>
  <c r="I120" i="16"/>
  <c r="L139" i="12"/>
  <c r="L138" i="12"/>
  <c r="L136" i="12"/>
  <c r="L126" i="12"/>
  <c r="L135" i="12"/>
  <c r="L125" i="12"/>
  <c r="L141" i="12"/>
  <c r="L133" i="12"/>
  <c r="L132" i="12"/>
  <c r="L140" i="12"/>
  <c r="L130" i="12"/>
  <c r="L123" i="12"/>
  <c r="L129" i="12"/>
  <c r="L131" i="12"/>
  <c r="L124" i="12"/>
  <c r="L134" i="12"/>
  <c r="L128" i="12"/>
  <c r="I118" i="16"/>
  <c r="I121" i="16"/>
  <c r="I117" i="16"/>
  <c r="I107" i="16"/>
  <c r="I115" i="16"/>
  <c r="I108" i="16"/>
  <c r="I110" i="16"/>
  <c r="I111" i="16"/>
  <c r="I112" i="16"/>
  <c r="I119" i="16"/>
  <c r="I109" i="16"/>
  <c r="I114" i="16"/>
  <c r="I106" i="16"/>
  <c r="I113" i="16"/>
  <c r="I105" i="16"/>
  <c r="H121" i="16"/>
  <c r="H117" i="16"/>
  <c r="F121" i="16"/>
  <c r="H119" i="16"/>
  <c r="E118" i="16"/>
  <c r="G119" i="16"/>
  <c r="F116" i="16"/>
  <c r="F113" i="16"/>
  <c r="H294" i="16"/>
  <c r="H118" i="16"/>
  <c r="E120" i="16"/>
  <c r="H120" i="16"/>
  <c r="E121" i="16"/>
  <c r="E117" i="16"/>
  <c r="F120" i="16"/>
  <c r="E114" i="16"/>
  <c r="H111" i="16"/>
  <c r="G116" i="16"/>
  <c r="G118" i="16"/>
  <c r="G120" i="16"/>
  <c r="G112" i="16"/>
  <c r="H107" i="16"/>
  <c r="F107" i="16"/>
  <c r="H110" i="16"/>
  <c r="E113" i="16"/>
  <c r="E109" i="16"/>
  <c r="G110" i="16"/>
  <c r="F115" i="16"/>
  <c r="H113" i="16"/>
  <c r="E112" i="16"/>
  <c r="F105" i="16"/>
  <c r="G108" i="16"/>
  <c r="G109" i="16"/>
  <c r="H108" i="16"/>
  <c r="E115" i="16"/>
  <c r="F112" i="16"/>
  <c r="G117" i="16"/>
  <c r="G107" i="16"/>
  <c r="F118" i="16"/>
  <c r="H115" i="16"/>
  <c r="E119" i="16"/>
  <c r="H116" i="16"/>
  <c r="F109" i="16"/>
  <c r="E106" i="16"/>
  <c r="E110" i="16"/>
  <c r="G121" i="16"/>
  <c r="F108" i="16"/>
  <c r="G115" i="16"/>
  <c r="G105" i="16"/>
  <c r="H114" i="16"/>
  <c r="H106" i="16"/>
  <c r="G111" i="16"/>
  <c r="H112" i="16"/>
  <c r="F110" i="16"/>
  <c r="F106" i="16"/>
  <c r="H109" i="16"/>
  <c r="F114" i="16"/>
  <c r="G114" i="16"/>
  <c r="G106" i="16"/>
  <c r="G113" i="16"/>
  <c r="E167" i="16"/>
  <c r="F167" i="16"/>
  <c r="G167" i="16"/>
  <c r="H167" i="16"/>
  <c r="I167" i="16"/>
  <c r="E168" i="16"/>
  <c r="F168" i="16"/>
  <c r="G168" i="16"/>
  <c r="H168" i="16"/>
  <c r="I168" i="16"/>
  <c r="E169" i="16"/>
  <c r="F169" i="16"/>
  <c r="G169" i="16"/>
  <c r="H169" i="16"/>
  <c r="I169" i="16"/>
  <c r="E170" i="16"/>
  <c r="F170" i="16"/>
  <c r="G170" i="16"/>
  <c r="H170" i="16"/>
  <c r="I170" i="16"/>
  <c r="E171" i="16"/>
  <c r="F171" i="16"/>
  <c r="G171" i="16"/>
  <c r="H171" i="16"/>
  <c r="I171" i="16"/>
  <c r="E172" i="16"/>
  <c r="F172" i="16"/>
  <c r="G172" i="16"/>
  <c r="H172" i="16"/>
  <c r="I172" i="16"/>
  <c r="E173" i="16"/>
  <c r="F173" i="16"/>
  <c r="G173" i="16"/>
  <c r="H173" i="16"/>
  <c r="I173" i="16"/>
  <c r="E174" i="16"/>
  <c r="F174" i="16"/>
  <c r="G174" i="16"/>
  <c r="H174" i="16"/>
  <c r="I174" i="16"/>
  <c r="E175" i="16"/>
  <c r="F175" i="16"/>
  <c r="G175" i="16"/>
  <c r="H175" i="16"/>
  <c r="I175" i="16"/>
  <c r="E176" i="16"/>
  <c r="F176" i="16"/>
  <c r="G176" i="16"/>
  <c r="H176" i="16"/>
  <c r="I176" i="16"/>
  <c r="E177" i="16"/>
  <c r="F177" i="16"/>
  <c r="G177" i="16"/>
  <c r="H177" i="16"/>
  <c r="I177" i="16"/>
  <c r="E178" i="16"/>
  <c r="F178" i="16"/>
  <c r="G178" i="16"/>
  <c r="H178" i="16"/>
  <c r="I178" i="16"/>
  <c r="I218" i="16" s="1"/>
  <c r="I258" i="16" s="1"/>
  <c r="E179" i="16"/>
  <c r="F179" i="16"/>
  <c r="F219" i="16" s="1"/>
  <c r="F259" i="16" s="1"/>
  <c r="G179" i="16"/>
  <c r="H179" i="16"/>
  <c r="I179" i="16"/>
  <c r="E180" i="16"/>
  <c r="F180" i="16"/>
  <c r="G180" i="16"/>
  <c r="H180" i="16"/>
  <c r="I180" i="16"/>
  <c r="I220" i="16" s="1"/>
  <c r="I260" i="16" s="1"/>
  <c r="E181" i="16"/>
  <c r="F181" i="16"/>
  <c r="G181" i="16"/>
  <c r="H181" i="16"/>
  <c r="I181" i="16"/>
  <c r="E182" i="16"/>
  <c r="F182" i="16"/>
  <c r="G182" i="16"/>
  <c r="H182" i="16"/>
  <c r="I182" i="16"/>
  <c r="E183" i="16"/>
  <c r="F183" i="16"/>
  <c r="G183" i="16"/>
  <c r="H183" i="16"/>
  <c r="I183" i="16"/>
  <c r="I289" i="16"/>
  <c r="H289" i="16"/>
  <c r="G289" i="16"/>
  <c r="F289" i="16"/>
  <c r="E289" i="16"/>
  <c r="I305" i="16"/>
  <c r="H305" i="16"/>
  <c r="G305" i="16"/>
  <c r="F305" i="16"/>
  <c r="E305" i="16"/>
  <c r="I304" i="16"/>
  <c r="H304" i="16"/>
  <c r="G304" i="16"/>
  <c r="F304" i="16"/>
  <c r="E304" i="16"/>
  <c r="I303" i="16"/>
  <c r="H303" i="16"/>
  <c r="G303" i="16"/>
  <c r="F303" i="16"/>
  <c r="E303" i="16"/>
  <c r="I302" i="16"/>
  <c r="H302" i="16"/>
  <c r="G302" i="16"/>
  <c r="F302" i="16"/>
  <c r="E302" i="16"/>
  <c r="I301" i="16"/>
  <c r="H301" i="16"/>
  <c r="G301" i="16"/>
  <c r="F301" i="16"/>
  <c r="E301" i="16"/>
  <c r="I300" i="16"/>
  <c r="H300" i="16"/>
  <c r="G300" i="16"/>
  <c r="F300" i="16"/>
  <c r="E300" i="16"/>
  <c r="I299" i="16"/>
  <c r="H299" i="16"/>
  <c r="G299" i="16"/>
  <c r="F299" i="16"/>
  <c r="E299" i="16"/>
  <c r="I298" i="16"/>
  <c r="H298" i="16"/>
  <c r="G298" i="16"/>
  <c r="F298" i="16"/>
  <c r="E298" i="16"/>
  <c r="I297" i="16"/>
  <c r="H297" i="16"/>
  <c r="G297" i="16"/>
  <c r="F297" i="16"/>
  <c r="E297" i="16"/>
  <c r="I296" i="16"/>
  <c r="H296" i="16"/>
  <c r="G296" i="16"/>
  <c r="F296" i="16"/>
  <c r="E296" i="16"/>
  <c r="I295" i="16"/>
  <c r="H295" i="16"/>
  <c r="G295" i="16"/>
  <c r="F295" i="16"/>
  <c r="E295" i="16"/>
  <c r="I294" i="16"/>
  <c r="G294" i="16"/>
  <c r="F294" i="16"/>
  <c r="E294" i="16"/>
  <c r="I293" i="16"/>
  <c r="H293" i="16"/>
  <c r="G293" i="16"/>
  <c r="F293" i="16"/>
  <c r="E293" i="16"/>
  <c r="I292" i="16"/>
  <c r="H292" i="16"/>
  <c r="G292" i="16"/>
  <c r="F292" i="16"/>
  <c r="E292" i="16"/>
  <c r="I291" i="16"/>
  <c r="H291" i="16"/>
  <c r="G291" i="16"/>
  <c r="F291" i="16"/>
  <c r="E291" i="16"/>
  <c r="I290" i="16"/>
  <c r="H290" i="16"/>
  <c r="G290" i="16"/>
  <c r="F290" i="16"/>
  <c r="E290" i="16"/>
  <c r="F23" i="16"/>
  <c r="F119" i="16" s="1"/>
  <c r="F15" i="16"/>
  <c r="F111" i="16" s="1"/>
  <c r="H9" i="16"/>
  <c r="H105" i="16" s="1"/>
  <c r="E15" i="16"/>
  <c r="E111" i="16" s="1"/>
  <c r="E20" i="16"/>
  <c r="E116" i="16" s="1"/>
  <c r="E12" i="16"/>
  <c r="E108" i="16" s="1"/>
  <c r="E11" i="16"/>
  <c r="E107" i="16" s="1"/>
  <c r="E9" i="16"/>
  <c r="E105" i="16" s="1"/>
  <c r="L144" i="12" l="1"/>
  <c r="L143" i="12"/>
  <c r="P124" i="12"/>
  <c r="P130" i="12"/>
  <c r="P141" i="12"/>
  <c r="P136" i="12"/>
  <c r="P131" i="12"/>
  <c r="P140" i="12"/>
  <c r="P125" i="12"/>
  <c r="P138" i="12"/>
  <c r="P128" i="12"/>
  <c r="P129" i="12"/>
  <c r="P132" i="12"/>
  <c r="P135" i="12"/>
  <c r="P139" i="12"/>
  <c r="P134" i="12"/>
  <c r="P123" i="12"/>
  <c r="P133" i="12"/>
  <c r="P126" i="12"/>
  <c r="I222" i="16"/>
  <c r="I262" i="16" s="1"/>
  <c r="I223" i="16"/>
  <c r="I263" i="16" s="1"/>
  <c r="I210" i="16"/>
  <c r="I250" i="16" s="1"/>
  <c r="K84" i="15"/>
  <c r="I217" i="16"/>
  <c r="I257" i="16" s="1"/>
  <c r="I219" i="16"/>
  <c r="I259" i="16" s="1"/>
  <c r="I209" i="16"/>
  <c r="I249" i="16" s="1"/>
  <c r="I212" i="16"/>
  <c r="I252" i="16" s="1"/>
  <c r="I214" i="16"/>
  <c r="I254" i="16" s="1"/>
  <c r="I213" i="16"/>
  <c r="I253" i="16" s="1"/>
  <c r="I208" i="16"/>
  <c r="I248" i="16" s="1"/>
  <c r="I221" i="16"/>
  <c r="I261" i="16" s="1"/>
  <c r="I211" i="16"/>
  <c r="I251" i="16" s="1"/>
  <c r="I216" i="16"/>
  <c r="I256" i="16" s="1"/>
  <c r="I215" i="16"/>
  <c r="I255" i="16" s="1"/>
  <c r="I207" i="16"/>
  <c r="I247" i="16" s="1"/>
  <c r="H223" i="16"/>
  <c r="H263" i="16" s="1"/>
  <c r="H219" i="16"/>
  <c r="H259" i="16" s="1"/>
  <c r="E223" i="16"/>
  <c r="E263" i="16" s="1"/>
  <c r="F223" i="16"/>
  <c r="F263" i="16" s="1"/>
  <c r="H221" i="16"/>
  <c r="H261" i="16" s="1"/>
  <c r="H209" i="16"/>
  <c r="H249" i="16" s="1"/>
  <c r="E213" i="16"/>
  <c r="E275" i="16" s="1"/>
  <c r="E315" i="16" s="1"/>
  <c r="E335" i="16" s="1"/>
  <c r="F218" i="16"/>
  <c r="F258" i="16" s="1"/>
  <c r="E218" i="16"/>
  <c r="E280" i="16" s="1"/>
  <c r="E320" i="16" s="1"/>
  <c r="E340" i="16" s="1"/>
  <c r="E209" i="16"/>
  <c r="E271" i="16" s="1"/>
  <c r="E311" i="16" s="1"/>
  <c r="E331" i="16" s="1"/>
  <c r="F221" i="16"/>
  <c r="F261" i="16" s="1"/>
  <c r="E210" i="16"/>
  <c r="E272" i="16" s="1"/>
  <c r="E312" i="16" s="1"/>
  <c r="E332" i="16" s="1"/>
  <c r="H207" i="16"/>
  <c r="H247" i="16" s="1"/>
  <c r="F213" i="16"/>
  <c r="F253" i="16" s="1"/>
  <c r="E220" i="16"/>
  <c r="E260" i="16" s="1"/>
  <c r="F215" i="16"/>
  <c r="F255" i="16" s="1"/>
  <c r="G221" i="16"/>
  <c r="G261" i="16" s="1"/>
  <c r="H220" i="16"/>
  <c r="H260" i="16" s="1"/>
  <c r="H212" i="16"/>
  <c r="H252" i="16" s="1"/>
  <c r="F212" i="16"/>
  <c r="F252" i="16" s="1"/>
  <c r="E212" i="16"/>
  <c r="E252" i="16" s="1"/>
  <c r="E207" i="16"/>
  <c r="E269" i="16" s="1"/>
  <c r="E309" i="16" s="1"/>
  <c r="E329" i="16" s="1"/>
  <c r="G218" i="16"/>
  <c r="G258" i="16" s="1"/>
  <c r="E222" i="16"/>
  <c r="E262" i="16" s="1"/>
  <c r="G220" i="16"/>
  <c r="G260" i="16" s="1"/>
  <c r="H222" i="16"/>
  <c r="H262" i="16" s="1"/>
  <c r="F222" i="16"/>
  <c r="F262" i="16" s="1"/>
  <c r="E219" i="16"/>
  <c r="E259" i="16" s="1"/>
  <c r="F209" i="16"/>
  <c r="F249" i="16" s="1"/>
  <c r="H213" i="16"/>
  <c r="H253" i="16" s="1"/>
  <c r="G214" i="16"/>
  <c r="G254" i="16" s="1"/>
  <c r="G222" i="16"/>
  <c r="G262" i="16" s="1"/>
  <c r="E216" i="16"/>
  <c r="E256" i="16" s="1"/>
  <c r="F217" i="16"/>
  <c r="F257" i="16" s="1"/>
  <c r="H215" i="16"/>
  <c r="H255" i="16" s="1"/>
  <c r="G211" i="16"/>
  <c r="G251" i="16" s="1"/>
  <c r="G210" i="16"/>
  <c r="G250" i="16" s="1"/>
  <c r="E211" i="16"/>
  <c r="E251" i="16" s="1"/>
  <c r="E215" i="16"/>
  <c r="E255" i="16" s="1"/>
  <c r="E214" i="16"/>
  <c r="E254" i="16" s="1"/>
  <c r="H210" i="16"/>
  <c r="H250" i="16" s="1"/>
  <c r="G212" i="16"/>
  <c r="G252" i="16" s="1"/>
  <c r="H218" i="16"/>
  <c r="H258" i="16" s="1"/>
  <c r="G216" i="16"/>
  <c r="G256" i="16" s="1"/>
  <c r="G208" i="16"/>
  <c r="G248" i="16" s="1"/>
  <c r="G223" i="16"/>
  <c r="G263" i="16" s="1"/>
  <c r="F207" i="16"/>
  <c r="F247" i="16" s="1"/>
  <c r="F211" i="16"/>
  <c r="F251" i="16" s="1"/>
  <c r="E217" i="16"/>
  <c r="E257" i="16" s="1"/>
  <c r="H217" i="16"/>
  <c r="H257" i="16" s="1"/>
  <c r="G207" i="16"/>
  <c r="G247" i="16" s="1"/>
  <c r="F214" i="16"/>
  <c r="F254" i="16" s="1"/>
  <c r="H216" i="16"/>
  <c r="H256" i="16" s="1"/>
  <c r="E221" i="16"/>
  <c r="E261" i="16" s="1"/>
  <c r="G219" i="16"/>
  <c r="G259" i="16" s="1"/>
  <c r="F216" i="16"/>
  <c r="F256" i="16" s="1"/>
  <c r="H214" i="16"/>
  <c r="H254" i="16" s="1"/>
  <c r="E208" i="16"/>
  <c r="E248" i="16" s="1"/>
  <c r="G209" i="16"/>
  <c r="G249" i="16" s="1"/>
  <c r="F220" i="16"/>
  <c r="F260" i="16" s="1"/>
  <c r="G213" i="16"/>
  <c r="G253" i="16" s="1"/>
  <c r="F210" i="16"/>
  <c r="F250" i="16" s="1"/>
  <c r="H208" i="16"/>
  <c r="H248" i="16" s="1"/>
  <c r="F208" i="16"/>
  <c r="F248" i="16" s="1"/>
  <c r="H211" i="16"/>
  <c r="H251" i="16" s="1"/>
  <c r="G217" i="16"/>
  <c r="G257" i="16" s="1"/>
  <c r="G215" i="16"/>
  <c r="G255" i="16" s="1"/>
  <c r="K80" i="15"/>
  <c r="K81" i="15"/>
  <c r="K82" i="15"/>
  <c r="K83" i="15"/>
  <c r="K85" i="15"/>
  <c r="K86" i="15"/>
  <c r="K87" i="15"/>
  <c r="K88" i="15"/>
  <c r="K89" i="15"/>
  <c r="K90" i="15"/>
  <c r="K91" i="15"/>
  <c r="K92" i="15"/>
  <c r="K93" i="15"/>
  <c r="K94" i="15"/>
  <c r="K95" i="15"/>
  <c r="K79" i="15"/>
  <c r="K22" i="10"/>
  <c r="K21" i="10"/>
  <c r="K20" i="10"/>
  <c r="K19" i="10"/>
  <c r="K18" i="10"/>
  <c r="K17" i="10"/>
  <c r="K16" i="10"/>
  <c r="K15" i="10"/>
  <c r="K14" i="10"/>
  <c r="K13" i="10"/>
  <c r="K12" i="10"/>
  <c r="K11" i="10"/>
  <c r="K10" i="10"/>
  <c r="K9" i="10"/>
  <c r="K8" i="10"/>
  <c r="K7" i="10"/>
  <c r="K6" i="10"/>
  <c r="K228" i="8"/>
  <c r="L228" i="8"/>
  <c r="J353" i="6"/>
  <c r="N124" i="12" l="1"/>
  <c r="Q124" i="12" s="1"/>
  <c r="I8" i="13" s="1"/>
  <c r="N126" i="12"/>
  <c r="Q126" i="12" s="1"/>
  <c r="I10" i="13" s="1"/>
  <c r="N123" i="12"/>
  <c r="Q123" i="12" s="1"/>
  <c r="I7" i="13" s="1"/>
  <c r="N139" i="12"/>
  <c r="Q139" i="12" s="1"/>
  <c r="I23" i="13" s="1"/>
  <c r="N132" i="12"/>
  <c r="Q132" i="12" s="1"/>
  <c r="I16" i="13" s="1"/>
  <c r="N138" i="12"/>
  <c r="Q138" i="12" s="1"/>
  <c r="I22" i="13" s="1"/>
  <c r="N140" i="12"/>
  <c r="Q140" i="12" s="1"/>
  <c r="I24" i="13" s="1"/>
  <c r="N136" i="12"/>
  <c r="Q136" i="12" s="1"/>
  <c r="I20" i="13" s="1"/>
  <c r="N130" i="12"/>
  <c r="Q130" i="12" s="1"/>
  <c r="I14" i="13" s="1"/>
  <c r="N133" i="12"/>
  <c r="Q133" i="12" s="1"/>
  <c r="I17" i="13" s="1"/>
  <c r="N134" i="12"/>
  <c r="Q134" i="12" s="1"/>
  <c r="I18" i="13" s="1"/>
  <c r="N135" i="12"/>
  <c r="Q135" i="12" s="1"/>
  <c r="I19" i="13" s="1"/>
  <c r="N129" i="12"/>
  <c r="Q129" i="12" s="1"/>
  <c r="I13" i="13" s="1"/>
  <c r="N128" i="12"/>
  <c r="Q128" i="12" s="1"/>
  <c r="I12" i="13" s="1"/>
  <c r="N125" i="12"/>
  <c r="Q125" i="12" s="1"/>
  <c r="I9" i="13" s="1"/>
  <c r="N131" i="12"/>
  <c r="Q131" i="12" s="1"/>
  <c r="I15" i="13" s="1"/>
  <c r="N141" i="12"/>
  <c r="Q141" i="12" s="1"/>
  <c r="I25" i="13" s="1"/>
  <c r="E285" i="16"/>
  <c r="E325" i="16" s="1"/>
  <c r="E345" i="16" s="1"/>
  <c r="E249" i="16"/>
  <c r="F285" i="16"/>
  <c r="F325" i="16" s="1"/>
  <c r="F345" i="16" s="1"/>
  <c r="E253" i="16"/>
  <c r="E258" i="16"/>
  <c r="F280" i="16"/>
  <c r="F320" i="16" s="1"/>
  <c r="F340" i="16" s="1"/>
  <c r="F275" i="16"/>
  <c r="F315" i="16" s="1"/>
  <c r="F335" i="16" s="1"/>
  <c r="E250" i="16"/>
  <c r="E274" i="16"/>
  <c r="E314" i="16" s="1"/>
  <c r="E334" i="16" s="1"/>
  <c r="G280" i="16"/>
  <c r="G320" i="16" s="1"/>
  <c r="G340" i="16" s="1"/>
  <c r="E282" i="16"/>
  <c r="E322" i="16" s="1"/>
  <c r="E342" i="16" s="1"/>
  <c r="F274" i="16"/>
  <c r="F314" i="16" s="1"/>
  <c r="F334" i="16" s="1"/>
  <c r="E247" i="16"/>
  <c r="E281" i="16"/>
  <c r="E321" i="16" s="1"/>
  <c r="E341" i="16" s="1"/>
  <c r="E284" i="16"/>
  <c r="E324" i="16" s="1"/>
  <c r="E344" i="16" s="1"/>
  <c r="F281" i="16"/>
  <c r="F321" i="16" s="1"/>
  <c r="F341" i="16" s="1"/>
  <c r="F271" i="16"/>
  <c r="F311" i="16" s="1"/>
  <c r="F331" i="16" s="1"/>
  <c r="H284" i="16"/>
  <c r="G284" i="16"/>
  <c r="G324" i="16" s="1"/>
  <c r="G344" i="16" s="1"/>
  <c r="F284" i="16"/>
  <c r="F324" i="16" s="1"/>
  <c r="F344" i="16" s="1"/>
  <c r="E278" i="16"/>
  <c r="E318" i="16" s="1"/>
  <c r="E338" i="16" s="1"/>
  <c r="I284" i="16"/>
  <c r="I324" i="16" s="1"/>
  <c r="I344" i="16" s="1"/>
  <c r="I283" i="16"/>
  <c r="I323" i="16" s="1"/>
  <c r="I343" i="16" s="1"/>
  <c r="H280" i="16"/>
  <c r="I280" i="16"/>
  <c r="I320" i="16" s="1"/>
  <c r="I340" i="16" s="1"/>
  <c r="E276" i="16"/>
  <c r="E316" i="16" s="1"/>
  <c r="E336" i="16" s="1"/>
  <c r="I273" i="16"/>
  <c r="I313" i="16" s="1"/>
  <c r="I333" i="16" s="1"/>
  <c r="E273" i="16"/>
  <c r="E313" i="16" s="1"/>
  <c r="E333" i="16" s="1"/>
  <c r="G278" i="16"/>
  <c r="G318" i="16" s="1"/>
  <c r="G338" i="16" s="1"/>
  <c r="E270" i="16"/>
  <c r="E310" i="16" s="1"/>
  <c r="E330" i="16" s="1"/>
  <c r="F277" i="16"/>
  <c r="F317" i="16" s="1"/>
  <c r="F337" i="16" s="1"/>
  <c r="E277" i="16"/>
  <c r="E317" i="16" s="1"/>
  <c r="E337" i="16" s="1"/>
  <c r="G273" i="16"/>
  <c r="G313" i="16" s="1"/>
  <c r="G333" i="16" s="1"/>
  <c r="G285" i="16"/>
  <c r="G325" i="16" s="1"/>
  <c r="G345" i="16" s="1"/>
  <c r="E283" i="16"/>
  <c r="E323" i="16" s="1"/>
  <c r="E343" i="16" s="1"/>
  <c r="I285" i="16"/>
  <c r="I325" i="16" s="1"/>
  <c r="I345" i="16" s="1"/>
  <c r="G274" i="16"/>
  <c r="G314" i="16" s="1"/>
  <c r="G334" i="16" s="1"/>
  <c r="I274" i="16"/>
  <c r="I314" i="16" s="1"/>
  <c r="I334" i="16" s="1"/>
  <c r="F283" i="16"/>
  <c r="F323" i="16" s="1"/>
  <c r="F343" i="16" s="1"/>
  <c r="H285" i="16"/>
  <c r="H274" i="16"/>
  <c r="H282" i="16"/>
  <c r="G282" i="16"/>
  <c r="G322" i="16" s="1"/>
  <c r="G342" i="16" s="1"/>
  <c r="F282" i="16"/>
  <c r="F322" i="16" s="1"/>
  <c r="F342" i="16" s="1"/>
  <c r="F276" i="16"/>
  <c r="F316" i="16" s="1"/>
  <c r="F336" i="16" s="1"/>
  <c r="I282" i="16"/>
  <c r="I322" i="16" s="1"/>
  <c r="I342" i="16" s="1"/>
  <c r="F278" i="16"/>
  <c r="F318" i="16" s="1"/>
  <c r="F338" i="16" s="1"/>
  <c r="G276" i="16"/>
  <c r="G316" i="16" s="1"/>
  <c r="G336" i="16" s="1"/>
  <c r="F279" i="16"/>
  <c r="F319" i="16" s="1"/>
  <c r="F339" i="16" s="1"/>
  <c r="I269" i="16"/>
  <c r="I309" i="16" s="1"/>
  <c r="I329" i="16" s="1"/>
  <c r="F273" i="16"/>
  <c r="F313" i="16" s="1"/>
  <c r="F333" i="16" s="1"/>
  <c r="G270" i="16"/>
  <c r="G310" i="16" s="1"/>
  <c r="G330" i="16" s="1"/>
  <c r="E279" i="16"/>
  <c r="E319" i="16" s="1"/>
  <c r="E339" i="16" s="1"/>
  <c r="H269" i="16"/>
  <c r="L79" i="15" s="1"/>
  <c r="F270" i="16"/>
  <c r="F310" i="16" s="1"/>
  <c r="F330" i="16" s="1"/>
  <c r="H283" i="16"/>
  <c r="G269" i="16"/>
  <c r="G309" i="16" s="1"/>
  <c r="G329" i="16" s="1"/>
  <c r="G283" i="16"/>
  <c r="G323" i="16" s="1"/>
  <c r="G343" i="16" s="1"/>
  <c r="F269" i="16"/>
  <c r="F309" i="16" s="1"/>
  <c r="F329" i="16" s="1"/>
  <c r="I278" i="16"/>
  <c r="I318" i="16" s="1"/>
  <c r="I338" i="16" s="1"/>
  <c r="H278" i="16"/>
  <c r="H273" i="16"/>
  <c r="I270" i="16"/>
  <c r="I310" i="16" s="1"/>
  <c r="I330" i="16" s="1"/>
  <c r="I281" i="16"/>
  <c r="I321" i="16" s="1"/>
  <c r="I341" i="16" s="1"/>
  <c r="H270" i="16"/>
  <c r="H281" i="16"/>
  <c r="I276" i="16"/>
  <c r="I316" i="16" s="1"/>
  <c r="I336" i="16" s="1"/>
  <c r="G281" i="16"/>
  <c r="G321" i="16" s="1"/>
  <c r="G341" i="16" s="1"/>
  <c r="H276" i="16"/>
  <c r="H271" i="16"/>
  <c r="I271" i="16"/>
  <c r="I311" i="16" s="1"/>
  <c r="I331" i="16" s="1"/>
  <c r="I275" i="16"/>
  <c r="I315" i="16" s="1"/>
  <c r="I335" i="16" s="1"/>
  <c r="G271" i="16"/>
  <c r="G311" i="16" s="1"/>
  <c r="G331" i="16" s="1"/>
  <c r="H275" i="16"/>
  <c r="G275" i="16"/>
  <c r="G315" i="16" s="1"/>
  <c r="G335" i="16" s="1"/>
  <c r="I279" i="16"/>
  <c r="I319" i="16" s="1"/>
  <c r="I339" i="16" s="1"/>
  <c r="H272" i="16"/>
  <c r="H279" i="16"/>
  <c r="G272" i="16"/>
  <c r="G312" i="16" s="1"/>
  <c r="G332" i="16" s="1"/>
  <c r="I272" i="16"/>
  <c r="I312" i="16" s="1"/>
  <c r="I332" i="16" s="1"/>
  <c r="G279" i="16"/>
  <c r="G319" i="16" s="1"/>
  <c r="G339" i="16" s="1"/>
  <c r="F272" i="16"/>
  <c r="F312" i="16" s="1"/>
  <c r="F332" i="16" s="1"/>
  <c r="I277" i="16"/>
  <c r="I317" i="16" s="1"/>
  <c r="I337" i="16" s="1"/>
  <c r="H277" i="16"/>
  <c r="G277" i="16"/>
  <c r="G317" i="16" s="1"/>
  <c r="G337" i="16" s="1"/>
  <c r="E157" i="6"/>
  <c r="F157" i="6"/>
  <c r="G157" i="6"/>
  <c r="H157" i="6"/>
  <c r="I157" i="6"/>
  <c r="J157" i="6"/>
  <c r="K157" i="6"/>
  <c r="L157" i="6"/>
  <c r="F335" i="6"/>
  <c r="E363" i="11" s="1"/>
  <c r="G335" i="6"/>
  <c r="F363" i="11" s="1"/>
  <c r="H335" i="6"/>
  <c r="G363" i="11" s="1"/>
  <c r="I335" i="6"/>
  <c r="H363" i="11" s="1"/>
  <c r="J335" i="6"/>
  <c r="I363" i="11" s="1"/>
  <c r="K335" i="6"/>
  <c r="J363" i="11" s="1"/>
  <c r="L335" i="6"/>
  <c r="F336" i="6"/>
  <c r="E364" i="11" s="1"/>
  <c r="G336" i="6"/>
  <c r="F364" i="11" s="1"/>
  <c r="H336" i="6"/>
  <c r="G364" i="11" s="1"/>
  <c r="I336" i="6"/>
  <c r="H364" i="11" s="1"/>
  <c r="J336" i="6"/>
  <c r="I364" i="11" s="1"/>
  <c r="K336" i="6"/>
  <c r="L336" i="6"/>
  <c r="K364" i="11" s="1"/>
  <c r="F337" i="6"/>
  <c r="G337" i="6"/>
  <c r="H337" i="6"/>
  <c r="I337" i="6"/>
  <c r="J337" i="6"/>
  <c r="K337" i="6"/>
  <c r="L337" i="6"/>
  <c r="F338" i="6"/>
  <c r="E365" i="11" s="1"/>
  <c r="G338" i="6"/>
  <c r="F365" i="11" s="1"/>
  <c r="H338" i="6"/>
  <c r="G365" i="11" s="1"/>
  <c r="I338" i="6"/>
  <c r="H365" i="11" s="1"/>
  <c r="J338" i="6"/>
  <c r="I365" i="11" s="1"/>
  <c r="K338" i="6"/>
  <c r="L338" i="6"/>
  <c r="K365" i="11" s="1"/>
  <c r="F339" i="6"/>
  <c r="G339" i="6"/>
  <c r="H339" i="6"/>
  <c r="I339" i="6"/>
  <c r="J339" i="6"/>
  <c r="K339" i="6"/>
  <c r="L339" i="6"/>
  <c r="F340" i="6"/>
  <c r="G340" i="6"/>
  <c r="H340" i="6"/>
  <c r="I340" i="6"/>
  <c r="J340" i="6"/>
  <c r="K340" i="6"/>
  <c r="L340" i="6"/>
  <c r="K367" i="11" s="1"/>
  <c r="F341" i="6"/>
  <c r="E368" i="11" s="1"/>
  <c r="G341" i="6"/>
  <c r="F368" i="11" s="1"/>
  <c r="H341" i="6"/>
  <c r="G368" i="11" s="1"/>
  <c r="I341" i="6"/>
  <c r="H368" i="11" s="1"/>
  <c r="J341" i="6"/>
  <c r="I368" i="11" s="1"/>
  <c r="K341" i="6"/>
  <c r="L341" i="6"/>
  <c r="F342" i="6"/>
  <c r="E369" i="11" s="1"/>
  <c r="G342" i="6"/>
  <c r="F369" i="11" s="1"/>
  <c r="H342" i="6"/>
  <c r="G369" i="11" s="1"/>
  <c r="I342" i="6"/>
  <c r="H369" i="11" s="1"/>
  <c r="J342" i="6"/>
  <c r="I369" i="11" s="1"/>
  <c r="K342" i="6"/>
  <c r="L342" i="6"/>
  <c r="K369" i="11" s="1"/>
  <c r="F343" i="6"/>
  <c r="G343" i="6"/>
  <c r="H343" i="6"/>
  <c r="I343" i="6"/>
  <c r="J343" i="6"/>
  <c r="K343" i="6"/>
  <c r="L343" i="6"/>
  <c r="F344" i="6"/>
  <c r="G344" i="6"/>
  <c r="H344" i="6"/>
  <c r="I344" i="6"/>
  <c r="J344" i="6"/>
  <c r="K344" i="6"/>
  <c r="L344" i="6"/>
  <c r="K371" i="11" s="1"/>
  <c r="F345" i="6"/>
  <c r="G345" i="6"/>
  <c r="H345" i="6"/>
  <c r="I345" i="6"/>
  <c r="J345" i="6"/>
  <c r="K345" i="6"/>
  <c r="L345" i="6"/>
  <c r="E336" i="6"/>
  <c r="D364" i="11" s="1"/>
  <c r="E337" i="6"/>
  <c r="E338" i="6"/>
  <c r="D365" i="11" s="1"/>
  <c r="E339" i="6"/>
  <c r="E340" i="6"/>
  <c r="E341" i="6"/>
  <c r="D368" i="11" s="1"/>
  <c r="E342" i="6"/>
  <c r="E343" i="6"/>
  <c r="E344" i="6"/>
  <c r="E345" i="6"/>
  <c r="E335" i="6"/>
  <c r="D363" i="11" s="1"/>
  <c r="E322" i="6"/>
  <c r="F322" i="6"/>
  <c r="G322" i="6"/>
  <c r="H322" i="6"/>
  <c r="I322" i="6"/>
  <c r="J322" i="6"/>
  <c r="K322" i="6"/>
  <c r="L322" i="6"/>
  <c r="O202" i="10" s="1"/>
  <c r="Q345" i="6" l="1"/>
  <c r="R345" i="6" s="1"/>
  <c r="K372" i="11"/>
  <c r="Q343" i="6"/>
  <c r="R343" i="6" s="1"/>
  <c r="K370" i="11"/>
  <c r="Q339" i="6"/>
  <c r="R339" i="6" s="1"/>
  <c r="Q335" i="6"/>
  <c r="R335" i="6" s="1"/>
  <c r="K363" i="11"/>
  <c r="Q337" i="6"/>
  <c r="R337" i="6" s="1"/>
  <c r="K366" i="11"/>
  <c r="Q341" i="6"/>
  <c r="R341" i="6" s="1"/>
  <c r="K368" i="11"/>
  <c r="Q322" i="6"/>
  <c r="R322" i="6" s="1"/>
  <c r="Q336" i="6"/>
  <c r="R336" i="6" s="1"/>
  <c r="Q344" i="6"/>
  <c r="R344" i="6" s="1"/>
  <c r="Q340" i="6"/>
  <c r="R340" i="6" s="1"/>
  <c r="J369" i="11"/>
  <c r="Q342" i="6"/>
  <c r="R342" i="6" s="1"/>
  <c r="Q338" i="6"/>
  <c r="R338" i="6" s="1"/>
  <c r="N157" i="6"/>
  <c r="O157" i="6" s="1"/>
  <c r="Q157" i="6"/>
  <c r="R157" i="6" s="1"/>
  <c r="L93" i="15"/>
  <c r="H367" i="11"/>
  <c r="D367" i="11"/>
  <c r="G367" i="11"/>
  <c r="J367" i="11"/>
  <c r="F367" i="11"/>
  <c r="I367" i="11"/>
  <c r="E367" i="11"/>
  <c r="O337" i="6"/>
  <c r="L87" i="15"/>
  <c r="I372" i="11"/>
  <c r="E372" i="11"/>
  <c r="H371" i="11"/>
  <c r="G370" i="11"/>
  <c r="D371" i="11"/>
  <c r="H372" i="11"/>
  <c r="G371" i="11"/>
  <c r="J370" i="11"/>
  <c r="F370" i="11"/>
  <c r="F371" i="11"/>
  <c r="I370" i="11"/>
  <c r="E370" i="11"/>
  <c r="D372" i="11"/>
  <c r="G372" i="11"/>
  <c r="F372" i="11"/>
  <c r="I371" i="11"/>
  <c r="E371" i="11"/>
  <c r="H370" i="11"/>
  <c r="L81" i="15"/>
  <c r="L86" i="15"/>
  <c r="L90" i="15"/>
  <c r="N322" i="6"/>
  <c r="O322" i="6" s="1"/>
  <c r="L83" i="15"/>
  <c r="L95" i="15"/>
  <c r="L80" i="15"/>
  <c r="L85" i="15"/>
  <c r="L91" i="15"/>
  <c r="L92" i="15"/>
  <c r="L94" i="15"/>
  <c r="L89" i="15"/>
  <c r="L82" i="15"/>
  <c r="L88" i="15"/>
  <c r="H320" i="16"/>
  <c r="H340" i="16" s="1"/>
  <c r="H324" i="16"/>
  <c r="H344" i="16" s="1"/>
  <c r="H325" i="16"/>
  <c r="H345" i="16" s="1"/>
  <c r="H318" i="16"/>
  <c r="H338" i="16" s="1"/>
  <c r="H316" i="16"/>
  <c r="H336" i="16" s="1"/>
  <c r="H309" i="16"/>
  <c r="H329" i="16" s="1"/>
  <c r="H321" i="16"/>
  <c r="H341" i="16" s="1"/>
  <c r="H314" i="16"/>
  <c r="H334" i="16" s="1"/>
  <c r="L84" i="15"/>
  <c r="H322" i="16"/>
  <c r="H342" i="16" s="1"/>
  <c r="H310" i="16"/>
  <c r="H330" i="16" s="1"/>
  <c r="H323" i="16"/>
  <c r="H343" i="16" s="1"/>
  <c r="H313" i="16"/>
  <c r="H333" i="16" s="1"/>
  <c r="H319" i="16"/>
  <c r="H339" i="16" s="1"/>
  <c r="H311" i="16"/>
  <c r="H331" i="16" s="1"/>
  <c r="H315" i="16"/>
  <c r="H335" i="16" s="1"/>
  <c r="H312" i="16"/>
  <c r="H332" i="16" s="1"/>
  <c r="H317" i="16"/>
  <c r="H337" i="16" s="1"/>
  <c r="N339" i="6"/>
  <c r="O339" i="6" s="1"/>
  <c r="G366" i="11"/>
  <c r="N345" i="6"/>
  <c r="O345" i="6" s="1"/>
  <c r="N337" i="6"/>
  <c r="N343" i="6"/>
  <c r="O343" i="6" s="1"/>
  <c r="N344" i="6"/>
  <c r="O344" i="6" s="1"/>
  <c r="N336" i="6"/>
  <c r="O336" i="6" s="1"/>
  <c r="N338" i="6"/>
  <c r="O338" i="6" s="1"/>
  <c r="I366" i="11"/>
  <c r="H366" i="11"/>
  <c r="N341" i="6"/>
  <c r="O341" i="6" s="1"/>
  <c r="F366" i="11"/>
  <c r="E366" i="11"/>
  <c r="J371" i="11"/>
  <c r="D370" i="11"/>
  <c r="N340" i="6"/>
  <c r="O340" i="6" s="1"/>
  <c r="J372" i="11"/>
  <c r="J368" i="11"/>
  <c r="J364" i="11"/>
  <c r="D369" i="11"/>
  <c r="D366" i="11"/>
  <c r="J365" i="11"/>
  <c r="N342" i="6"/>
  <c r="O342" i="6" s="1"/>
  <c r="J366" i="11"/>
  <c r="N83" i="15" l="1"/>
  <c r="L15" i="12"/>
  <c r="N86" i="15"/>
  <c r="L24" i="12"/>
  <c r="N90" i="15"/>
  <c r="L26" i="12"/>
  <c r="N85" i="15"/>
  <c r="L25" i="12"/>
  <c r="N93" i="15"/>
  <c r="L20" i="12"/>
  <c r="N84" i="15"/>
  <c r="L16" i="12"/>
  <c r="N88" i="15"/>
  <c r="L9" i="12"/>
  <c r="N81" i="15"/>
  <c r="L23" i="12"/>
  <c r="N80" i="15"/>
  <c r="L14" i="12"/>
  <c r="N91" i="15"/>
  <c r="L10" i="12"/>
  <c r="N95" i="15"/>
  <c r="L21" i="12"/>
  <c r="N82" i="15"/>
  <c r="L8" i="12"/>
  <c r="N87" i="15"/>
  <c r="L17" i="12"/>
  <c r="N89" i="15"/>
  <c r="L18" i="12"/>
  <c r="N92" i="15"/>
  <c r="L19" i="12"/>
  <c r="N79" i="15"/>
  <c r="L13" i="12"/>
  <c r="N94" i="15"/>
  <c r="L11" i="12"/>
  <c r="K206" i="8"/>
  <c r="L206" i="8"/>
  <c r="K190" i="8"/>
  <c r="L190" i="8"/>
  <c r="L28" i="12" l="1"/>
  <c r="L29" i="12"/>
  <c r="N98" i="15"/>
  <c r="N97" i="15"/>
  <c r="B139" i="11"/>
  <c r="N13" i="12" l="1"/>
  <c r="N14" i="12"/>
  <c r="N8" i="12"/>
  <c r="N15" i="12"/>
  <c r="N25" i="12"/>
  <c r="N23" i="12"/>
  <c r="N11" i="12"/>
  <c r="N20" i="12"/>
  <c r="N17" i="12"/>
  <c r="N26" i="12"/>
  <c r="N21" i="12"/>
  <c r="N19" i="12"/>
  <c r="N16" i="12"/>
  <c r="N10" i="12"/>
  <c r="N9" i="12"/>
  <c r="N24" i="12"/>
  <c r="N18" i="12"/>
  <c r="F6" i="12"/>
  <c r="C31" i="11"/>
  <c r="E375" i="6"/>
  <c r="E419" i="6" s="1"/>
  <c r="F375" i="6"/>
  <c r="G375" i="6"/>
  <c r="E376" i="6"/>
  <c r="F376" i="6"/>
  <c r="G376" i="6"/>
  <c r="E378" i="6"/>
  <c r="E422" i="6" s="1"/>
  <c r="F378" i="6"/>
  <c r="G378" i="6"/>
  <c r="E380" i="6"/>
  <c r="F380" i="6"/>
  <c r="G380" i="6"/>
  <c r="G424" i="6" s="1"/>
  <c r="E381" i="6"/>
  <c r="F381" i="6"/>
  <c r="G381" i="6"/>
  <c r="E382" i="6"/>
  <c r="E426" i="6" s="1"/>
  <c r="F382" i="6"/>
  <c r="G382" i="6"/>
  <c r="E383" i="6"/>
  <c r="F383" i="6"/>
  <c r="G383" i="6"/>
  <c r="E384" i="6"/>
  <c r="F384" i="6"/>
  <c r="G384" i="6"/>
  <c r="E385" i="6"/>
  <c r="F385" i="6"/>
  <c r="G385" i="6"/>
  <c r="E386" i="6"/>
  <c r="E430" i="6" s="1"/>
  <c r="F386" i="6"/>
  <c r="G386" i="6"/>
  <c r="E387" i="6"/>
  <c r="E431" i="6" s="1"/>
  <c r="F387" i="6"/>
  <c r="G387" i="6"/>
  <c r="E388" i="6"/>
  <c r="F388" i="6"/>
  <c r="G388" i="6"/>
  <c r="G432" i="6" s="1"/>
  <c r="E389" i="6"/>
  <c r="F389" i="6"/>
  <c r="F433" i="6" s="1"/>
  <c r="G389" i="6"/>
  <c r="E390" i="6"/>
  <c r="E434" i="6" s="1"/>
  <c r="F390" i="6"/>
  <c r="G390" i="6"/>
  <c r="G434" i="6" s="1"/>
  <c r="E391" i="6"/>
  <c r="F391" i="6"/>
  <c r="G391" i="6"/>
  <c r="H375" i="6"/>
  <c r="I375" i="6"/>
  <c r="K375" i="6"/>
  <c r="L375" i="6"/>
  <c r="I376" i="6"/>
  <c r="I420" i="6" s="1"/>
  <c r="J376" i="6"/>
  <c r="K376" i="6"/>
  <c r="L376" i="6"/>
  <c r="J421" i="6"/>
  <c r="I378" i="6"/>
  <c r="I422" i="6" s="1"/>
  <c r="J378" i="6"/>
  <c r="J422" i="6" s="1"/>
  <c r="K378" i="6"/>
  <c r="K422" i="6" s="1"/>
  <c r="L378" i="6"/>
  <c r="L422" i="6" s="1"/>
  <c r="L423" i="6"/>
  <c r="I380" i="6"/>
  <c r="J380" i="6"/>
  <c r="K380" i="6"/>
  <c r="L380" i="6"/>
  <c r="I381" i="6"/>
  <c r="J381" i="6"/>
  <c r="K381" i="6"/>
  <c r="L381" i="6"/>
  <c r="I382" i="6"/>
  <c r="K382" i="6"/>
  <c r="L382" i="6"/>
  <c r="I383" i="6"/>
  <c r="J383" i="6"/>
  <c r="K383" i="6"/>
  <c r="L383" i="6"/>
  <c r="I384" i="6"/>
  <c r="I428" i="6" s="1"/>
  <c r="J384" i="6"/>
  <c r="K384" i="6"/>
  <c r="L384" i="6"/>
  <c r="I385" i="6"/>
  <c r="J385" i="6"/>
  <c r="J429" i="6" s="1"/>
  <c r="K385" i="6"/>
  <c r="L385" i="6"/>
  <c r="I386" i="6"/>
  <c r="I430" i="6" s="1"/>
  <c r="J386" i="6"/>
  <c r="J430" i="6" s="1"/>
  <c r="K386" i="6"/>
  <c r="K430" i="6" s="1"/>
  <c r="L386" i="6"/>
  <c r="L430" i="6" s="1"/>
  <c r="I387" i="6"/>
  <c r="J387" i="6"/>
  <c r="K387" i="6"/>
  <c r="L387" i="6"/>
  <c r="L431" i="6" s="1"/>
  <c r="I388" i="6"/>
  <c r="J388" i="6"/>
  <c r="K388" i="6"/>
  <c r="L388" i="6"/>
  <c r="I389" i="6"/>
  <c r="J389" i="6"/>
  <c r="K389" i="6"/>
  <c r="L389" i="6"/>
  <c r="I390" i="6"/>
  <c r="I434" i="6" s="1"/>
  <c r="J390" i="6"/>
  <c r="K390" i="6"/>
  <c r="L390" i="6"/>
  <c r="I391" i="6"/>
  <c r="J391" i="6"/>
  <c r="K391" i="6"/>
  <c r="L391" i="6"/>
  <c r="H376" i="6"/>
  <c r="H378" i="6"/>
  <c r="H380" i="6"/>
  <c r="N380" i="6" s="1"/>
  <c r="N424" i="6" s="1"/>
  <c r="H381" i="6"/>
  <c r="H382" i="6"/>
  <c r="H383" i="6"/>
  <c r="H384" i="6"/>
  <c r="H385" i="6"/>
  <c r="H386" i="6"/>
  <c r="H387" i="6"/>
  <c r="H388" i="6"/>
  <c r="H389" i="6"/>
  <c r="H390" i="6"/>
  <c r="H391" i="6"/>
  <c r="J10" i="11" l="1"/>
  <c r="D10" i="11" s="1"/>
  <c r="J14" i="11"/>
  <c r="D14" i="11" s="1"/>
  <c r="J18" i="11"/>
  <c r="D18" i="11" s="1"/>
  <c r="J22" i="11"/>
  <c r="D22" i="11" s="1"/>
  <c r="E22" i="11" s="1"/>
  <c r="J7" i="11"/>
  <c r="D7" i="11" s="1"/>
  <c r="J8" i="11"/>
  <c r="D8" i="11" s="1"/>
  <c r="J16" i="11"/>
  <c r="D16" i="11" s="1"/>
  <c r="J13" i="11"/>
  <c r="D13" i="11" s="1"/>
  <c r="E13" i="11" s="1"/>
  <c r="J21" i="11"/>
  <c r="D21" i="11" s="1"/>
  <c r="J23" i="11"/>
  <c r="D23" i="11" s="1"/>
  <c r="J11" i="11"/>
  <c r="D11" i="11" s="1"/>
  <c r="J15" i="11"/>
  <c r="D15" i="11" s="1"/>
  <c r="E15" i="11" s="1"/>
  <c r="J19" i="11"/>
  <c r="D19" i="11" s="1"/>
  <c r="J12" i="11"/>
  <c r="D12" i="11" s="1"/>
  <c r="J20" i="11"/>
  <c r="D20" i="11" s="1"/>
  <c r="E20" i="11" s="1"/>
  <c r="J9" i="11"/>
  <c r="D9" i="11" s="1"/>
  <c r="H9" i="11" s="1"/>
  <c r="J17" i="11"/>
  <c r="D17" i="11" s="1"/>
  <c r="N388" i="6"/>
  <c r="N432" i="6" s="1"/>
  <c r="N384" i="6"/>
  <c r="N428" i="6" s="1"/>
  <c r="N387" i="6"/>
  <c r="N431" i="6" s="1"/>
  <c r="H427" i="6"/>
  <c r="N383" i="6"/>
  <c r="N427" i="6" s="1"/>
  <c r="N378" i="6"/>
  <c r="N422" i="6" s="1"/>
  <c r="N390" i="6"/>
  <c r="N434" i="6" s="1"/>
  <c r="N386" i="6"/>
  <c r="N430" i="6" s="1"/>
  <c r="N382" i="6"/>
  <c r="N426" i="6" s="1"/>
  <c r="N376" i="6"/>
  <c r="N420" i="6" s="1"/>
  <c r="H435" i="6"/>
  <c r="N391" i="6"/>
  <c r="N435" i="6" s="1"/>
  <c r="N389" i="6"/>
  <c r="N433" i="6" s="1"/>
  <c r="N385" i="6"/>
  <c r="N429" i="6" s="1"/>
  <c r="N381" i="6"/>
  <c r="N425" i="6" s="1"/>
  <c r="H419" i="6"/>
  <c r="N375" i="6"/>
  <c r="N419" i="6" s="1"/>
  <c r="M67" i="10"/>
  <c r="M59" i="10"/>
  <c r="J428" i="6"/>
  <c r="J420" i="6"/>
  <c r="F432" i="6"/>
  <c r="E432" i="6"/>
  <c r="H434" i="6"/>
  <c r="H426" i="6"/>
  <c r="K429" i="6"/>
  <c r="K421" i="6"/>
  <c r="I435" i="6"/>
  <c r="I427" i="6"/>
  <c r="I419" i="6"/>
  <c r="M11" i="12"/>
  <c r="M8" i="12"/>
  <c r="M20" i="12"/>
  <c r="M14" i="12"/>
  <c r="M10" i="12"/>
  <c r="M16" i="12"/>
  <c r="M25" i="12"/>
  <c r="M21" i="12"/>
  <c r="M26" i="12"/>
  <c r="M19" i="12"/>
  <c r="M23" i="12"/>
  <c r="M15" i="12"/>
  <c r="M18" i="12"/>
  <c r="M9" i="12"/>
  <c r="M24" i="12"/>
  <c r="M17" i="12"/>
  <c r="M13" i="12"/>
  <c r="H429" i="6"/>
  <c r="H421" i="6"/>
  <c r="F435" i="6"/>
  <c r="F427" i="6"/>
  <c r="F419" i="6"/>
  <c r="I426" i="6"/>
  <c r="L429" i="6"/>
  <c r="L421" i="6"/>
  <c r="H433" i="6"/>
  <c r="H425" i="6"/>
  <c r="J435" i="6"/>
  <c r="J427" i="6"/>
  <c r="J419" i="6"/>
  <c r="F431" i="6"/>
  <c r="K428" i="6"/>
  <c r="K420" i="6"/>
  <c r="E433" i="6"/>
  <c r="K432" i="6"/>
  <c r="E423" i="6"/>
  <c r="G426" i="6"/>
  <c r="F425" i="6"/>
  <c r="L433" i="6"/>
  <c r="L425" i="6"/>
  <c r="J431" i="6"/>
  <c r="J423" i="6"/>
  <c r="K424" i="6"/>
  <c r="G433" i="6"/>
  <c r="F424" i="6"/>
  <c r="G425" i="6"/>
  <c r="E429" i="6"/>
  <c r="E421" i="6"/>
  <c r="G428" i="6"/>
  <c r="F423" i="6"/>
  <c r="G420" i="6"/>
  <c r="E425" i="6"/>
  <c r="L432" i="6"/>
  <c r="H428" i="6"/>
  <c r="H420" i="6"/>
  <c r="K431" i="6"/>
  <c r="M68" i="10" s="1"/>
  <c r="K423" i="6"/>
  <c r="M60" i="10" s="1"/>
  <c r="F434" i="6"/>
  <c r="F426" i="6"/>
  <c r="I429" i="6"/>
  <c r="I421" i="6"/>
  <c r="L424" i="6"/>
  <c r="G435" i="6"/>
  <c r="G427" i="6"/>
  <c r="G419" i="6"/>
  <c r="K393" i="6"/>
  <c r="H431" i="6"/>
  <c r="H423" i="6"/>
  <c r="G430" i="6"/>
  <c r="G422" i="6"/>
  <c r="J433" i="6"/>
  <c r="J425" i="6"/>
  <c r="K426" i="6"/>
  <c r="K434" i="6"/>
  <c r="I432" i="6"/>
  <c r="I424" i="6"/>
  <c r="E435" i="6"/>
  <c r="E427" i="6"/>
  <c r="L435" i="6"/>
  <c r="L427" i="6"/>
  <c r="L419" i="6"/>
  <c r="F429" i="6"/>
  <c r="K435" i="6"/>
  <c r="G431" i="6"/>
  <c r="F430" i="6"/>
  <c r="L428" i="6"/>
  <c r="K427" i="6"/>
  <c r="G423" i="6"/>
  <c r="F422" i="6"/>
  <c r="L415" i="6"/>
  <c r="K415" i="6"/>
  <c r="F16" i="11"/>
  <c r="J415" i="6"/>
  <c r="E10" i="11"/>
  <c r="I415" i="6"/>
  <c r="F8" i="11"/>
  <c r="H415" i="6"/>
  <c r="E424" i="6"/>
  <c r="F421" i="6"/>
  <c r="F415" i="6"/>
  <c r="E11" i="11"/>
  <c r="E428" i="6"/>
  <c r="E420" i="6"/>
  <c r="L434" i="6"/>
  <c r="K433" i="6"/>
  <c r="J432" i="6"/>
  <c r="H430" i="6"/>
  <c r="G429" i="6"/>
  <c r="F428" i="6"/>
  <c r="L426" i="6"/>
  <c r="K425" i="6"/>
  <c r="J424" i="6"/>
  <c r="H422" i="6"/>
  <c r="G415" i="6"/>
  <c r="F420" i="6"/>
  <c r="I7" i="11"/>
  <c r="E18" i="11"/>
  <c r="J434" i="6"/>
  <c r="J426" i="6"/>
  <c r="I431" i="6"/>
  <c r="I423" i="6"/>
  <c r="I425" i="6"/>
  <c r="I433" i="6"/>
  <c r="H432" i="6"/>
  <c r="H424" i="6"/>
  <c r="E393" i="6"/>
  <c r="E415" i="6"/>
  <c r="G421" i="6"/>
  <c r="L393" i="6"/>
  <c r="G17" i="11"/>
  <c r="K419" i="6"/>
  <c r="J393" i="6"/>
  <c r="F23" i="11"/>
  <c r="I393" i="6"/>
  <c r="F14" i="11"/>
  <c r="H393" i="6"/>
  <c r="F21" i="11"/>
  <c r="G393" i="6"/>
  <c r="E12" i="11"/>
  <c r="L420" i="6"/>
  <c r="F393" i="6"/>
  <c r="E19" i="11"/>
  <c r="M29" i="12" l="1"/>
  <c r="M28" i="12"/>
  <c r="M27" i="11"/>
  <c r="O29" i="11"/>
  <c r="N28" i="11"/>
  <c r="N393" i="6"/>
  <c r="E57" i="11"/>
  <c r="D57" i="11" s="1"/>
  <c r="E61" i="11"/>
  <c r="D61" i="11" s="1"/>
  <c r="E65" i="11"/>
  <c r="D65" i="11" s="1"/>
  <c r="E69" i="11"/>
  <c r="D69" i="11" s="1"/>
  <c r="E67" i="11"/>
  <c r="D67" i="11" s="1"/>
  <c r="E58" i="11"/>
  <c r="D58" i="11" s="1"/>
  <c r="E62" i="11"/>
  <c r="D62" i="11" s="1"/>
  <c r="E66" i="11"/>
  <c r="D66" i="11" s="1"/>
  <c r="E70" i="11"/>
  <c r="D70" i="11" s="1"/>
  <c r="E63" i="11"/>
  <c r="D63" i="11" s="1"/>
  <c r="E55" i="11"/>
  <c r="D55" i="11" s="1"/>
  <c r="E56" i="11"/>
  <c r="D56" i="11" s="1"/>
  <c r="E60" i="11"/>
  <c r="D60" i="11" s="1"/>
  <c r="E64" i="11"/>
  <c r="D64" i="11" s="1"/>
  <c r="E68" i="11"/>
  <c r="D68" i="11" s="1"/>
  <c r="E59" i="11"/>
  <c r="D59" i="11" s="1"/>
  <c r="E54" i="11"/>
  <c r="D54" i="11" s="1"/>
  <c r="N415" i="6"/>
  <c r="O460" i="6" s="1"/>
  <c r="E115" i="11" s="1"/>
  <c r="M57" i="10"/>
  <c r="M58" i="10"/>
  <c r="M71" i="10"/>
  <c r="M69" i="10"/>
  <c r="M65" i="10"/>
  <c r="M66" i="10"/>
  <c r="M63" i="10"/>
  <c r="M61" i="10"/>
  <c r="E8" i="11"/>
  <c r="E23" i="11"/>
  <c r="F437" i="6"/>
  <c r="G8" i="11"/>
  <c r="H8" i="11"/>
  <c r="I8" i="11"/>
  <c r="I13" i="11"/>
  <c r="H13" i="11"/>
  <c r="I15" i="11"/>
  <c r="K437" i="6"/>
  <c r="H15" i="11"/>
  <c r="I23" i="11"/>
  <c r="L437" i="6"/>
  <c r="G23" i="11"/>
  <c r="G13" i="11"/>
  <c r="H23" i="11"/>
  <c r="I11" i="11"/>
  <c r="G21" i="11"/>
  <c r="H11" i="11"/>
  <c r="F11" i="11"/>
  <c r="I19" i="11"/>
  <c r="G11" i="11"/>
  <c r="F19" i="11"/>
  <c r="I18" i="11"/>
  <c r="H20" i="11"/>
  <c r="F20" i="11"/>
  <c r="H22" i="11"/>
  <c r="F12" i="11"/>
  <c r="G22" i="11"/>
  <c r="G437" i="6"/>
  <c r="E16" i="11"/>
  <c r="H7" i="11"/>
  <c r="G7" i="11"/>
  <c r="H16" i="11"/>
  <c r="E7" i="11"/>
  <c r="E21" i="11"/>
  <c r="I16" i="11"/>
  <c r="G16" i="11"/>
  <c r="F7" i="11"/>
  <c r="G20" i="11"/>
  <c r="I20" i="11"/>
  <c r="F15" i="11"/>
  <c r="E9" i="11"/>
  <c r="G18" i="11"/>
  <c r="G15" i="11"/>
  <c r="G10" i="11"/>
  <c r="F18" i="11"/>
  <c r="F9" i="11"/>
  <c r="H18" i="11"/>
  <c r="F13" i="11"/>
  <c r="I9" i="11"/>
  <c r="F10" i="11"/>
  <c r="G9" i="11"/>
  <c r="I10" i="11"/>
  <c r="E14" i="11"/>
  <c r="H10" i="11"/>
  <c r="M70" i="10"/>
  <c r="M62" i="10"/>
  <c r="M64" i="10"/>
  <c r="M72" i="10"/>
  <c r="E17" i="11"/>
  <c r="K25" i="11"/>
  <c r="H437" i="6"/>
  <c r="M56" i="10"/>
  <c r="H12" i="11"/>
  <c r="I22" i="11"/>
  <c r="H19" i="11"/>
  <c r="G19" i="11"/>
  <c r="G12" i="11"/>
  <c r="I14" i="11"/>
  <c r="F22" i="11"/>
  <c r="I17" i="11"/>
  <c r="I21" i="11"/>
  <c r="L26" i="11"/>
  <c r="I437" i="6"/>
  <c r="H14" i="11"/>
  <c r="H17" i="11"/>
  <c r="H21" i="11"/>
  <c r="I12" i="11"/>
  <c r="G14" i="11"/>
  <c r="F17" i="11"/>
  <c r="E437" i="6"/>
  <c r="J437" i="6"/>
  <c r="N437" i="6" l="1"/>
  <c r="E71" i="11" s="1"/>
  <c r="O17" i="12"/>
  <c r="P17" i="12" s="1"/>
  <c r="D16" i="13" s="1"/>
  <c r="O10" i="12"/>
  <c r="P10" i="12" s="1"/>
  <c r="D9" i="13" s="1"/>
  <c r="O21" i="12"/>
  <c r="P21" i="12" s="1"/>
  <c r="D20" i="13" s="1"/>
  <c r="O8" i="12"/>
  <c r="P8" i="12" s="1"/>
  <c r="D7" i="13" s="1"/>
  <c r="O13" i="12"/>
  <c r="P13" i="12" s="1"/>
  <c r="D12" i="13" s="1"/>
  <c r="O18" i="12"/>
  <c r="P18" i="12" s="1"/>
  <c r="D17" i="13" s="1"/>
  <c r="O19" i="12"/>
  <c r="P19" i="12" s="1"/>
  <c r="D18" i="13" s="1"/>
  <c r="O16" i="12"/>
  <c r="P16" i="12" s="1"/>
  <c r="D15" i="13" s="1"/>
  <c r="O20" i="12"/>
  <c r="P20" i="12" s="1"/>
  <c r="D19" i="13" s="1"/>
  <c r="O9" i="12"/>
  <c r="P9" i="12" s="1"/>
  <c r="D8" i="13" s="1"/>
  <c r="O11" i="12"/>
  <c r="P11" i="12" s="1"/>
  <c r="D10" i="13" s="1"/>
  <c r="O23" i="12"/>
  <c r="P23" i="12" s="1"/>
  <c r="D22" i="13" s="1"/>
  <c r="O25" i="12"/>
  <c r="P25" i="12" s="1"/>
  <c r="D24" i="13" s="1"/>
  <c r="O26" i="12"/>
  <c r="P26" i="12" s="1"/>
  <c r="D25" i="13" s="1"/>
  <c r="O14" i="12"/>
  <c r="P14" i="12" s="1"/>
  <c r="D13" i="13" s="1"/>
  <c r="O24" i="12"/>
  <c r="P24" i="12" s="1"/>
  <c r="D23" i="13" s="1"/>
  <c r="O15" i="12"/>
  <c r="P15" i="12" s="1"/>
  <c r="D14" i="13" s="1"/>
  <c r="B4" i="11"/>
  <c r="J95" i="15" l="1"/>
  <c r="J94" i="15"/>
  <c r="J93" i="15"/>
  <c r="J92" i="15"/>
  <c r="J91" i="15"/>
  <c r="J90" i="15"/>
  <c r="J89" i="15"/>
  <c r="J88" i="15"/>
  <c r="J87" i="15"/>
  <c r="J86" i="15"/>
  <c r="J85" i="15"/>
  <c r="J84" i="15"/>
  <c r="J83" i="15"/>
  <c r="J82" i="15"/>
  <c r="J81" i="15"/>
  <c r="J80" i="15"/>
  <c r="J79" i="15"/>
  <c r="E78" i="15"/>
  <c r="M78" i="15"/>
  <c r="K72" i="10"/>
  <c r="K71" i="10"/>
  <c r="K70" i="10"/>
  <c r="K69" i="10"/>
  <c r="K68" i="10"/>
  <c r="K67" i="10"/>
  <c r="K66" i="10"/>
  <c r="K65" i="10"/>
  <c r="K64" i="10"/>
  <c r="K63" i="10"/>
  <c r="K62" i="10"/>
  <c r="K61" i="10"/>
  <c r="K60" i="10"/>
  <c r="K59" i="10"/>
  <c r="K58" i="10"/>
  <c r="K57" i="10"/>
  <c r="K56" i="10"/>
  <c r="E55" i="10"/>
  <c r="M75" i="10" l="1"/>
  <c r="M74" i="10"/>
  <c r="K354" i="6" l="1"/>
  <c r="E30" i="10"/>
  <c r="M30" i="10"/>
  <c r="K47" i="10"/>
  <c r="K46" i="10"/>
  <c r="K45" i="10"/>
  <c r="K44" i="10"/>
  <c r="K43" i="10"/>
  <c r="K42" i="10"/>
  <c r="K41" i="10"/>
  <c r="K40" i="10"/>
  <c r="K39" i="10"/>
  <c r="K38" i="10"/>
  <c r="K37" i="10"/>
  <c r="K36" i="10"/>
  <c r="K35" i="10"/>
  <c r="K34" i="10"/>
  <c r="K33" i="10"/>
  <c r="K32" i="10"/>
  <c r="K31" i="10"/>
  <c r="K210" i="10" l="1"/>
  <c r="K209" i="10"/>
  <c r="K208" i="10"/>
  <c r="K207" i="10"/>
  <c r="K206" i="10"/>
  <c r="K205" i="10"/>
  <c r="K204" i="10"/>
  <c r="K203" i="10"/>
  <c r="K201" i="10"/>
  <c r="K200" i="10"/>
  <c r="I199" i="10"/>
  <c r="H199" i="10"/>
  <c r="G199" i="10"/>
  <c r="F199" i="10"/>
  <c r="E199" i="10"/>
  <c r="K191" i="10"/>
  <c r="K190" i="10"/>
  <c r="K189" i="10"/>
  <c r="K188" i="10"/>
  <c r="K187" i="10"/>
  <c r="K186" i="10"/>
  <c r="K185" i="10"/>
  <c r="K184" i="10"/>
  <c r="K183" i="10"/>
  <c r="K182" i="10"/>
  <c r="K181" i="10"/>
  <c r="I180" i="10"/>
  <c r="H180" i="10"/>
  <c r="G180" i="10"/>
  <c r="F180" i="10"/>
  <c r="E180" i="10"/>
  <c r="K172" i="10"/>
  <c r="K171" i="10"/>
  <c r="K170" i="10"/>
  <c r="K169" i="10"/>
  <c r="K168" i="10"/>
  <c r="K167" i="10"/>
  <c r="K166" i="10"/>
  <c r="K165" i="10"/>
  <c r="K164" i="10"/>
  <c r="K163" i="10"/>
  <c r="K162" i="10"/>
  <c r="K161" i="10"/>
  <c r="K160" i="10"/>
  <c r="K159" i="10"/>
  <c r="K158" i="10"/>
  <c r="K157" i="10"/>
  <c r="K156" i="10"/>
  <c r="I155" i="10"/>
  <c r="H155" i="10"/>
  <c r="G155" i="10"/>
  <c r="F155" i="10"/>
  <c r="E155" i="10"/>
  <c r="K147" i="10"/>
  <c r="K146" i="10"/>
  <c r="K145" i="10"/>
  <c r="K144" i="10"/>
  <c r="K143" i="10"/>
  <c r="K142" i="10"/>
  <c r="K141" i="10"/>
  <c r="K140" i="10"/>
  <c r="K139" i="10"/>
  <c r="K138" i="10"/>
  <c r="K137" i="10"/>
  <c r="K136" i="10"/>
  <c r="K135" i="10"/>
  <c r="K134" i="10"/>
  <c r="K133" i="10"/>
  <c r="K132" i="10"/>
  <c r="K131" i="10"/>
  <c r="I130" i="10"/>
  <c r="H130" i="10"/>
  <c r="G130" i="10"/>
  <c r="F130" i="10"/>
  <c r="E130" i="10"/>
  <c r="K97" i="10"/>
  <c r="K96" i="10"/>
  <c r="K95" i="10"/>
  <c r="K94" i="10"/>
  <c r="K93" i="10"/>
  <c r="K92" i="10"/>
  <c r="K91" i="10"/>
  <c r="K90" i="10"/>
  <c r="K89" i="10"/>
  <c r="K88" i="10"/>
  <c r="K87" i="10"/>
  <c r="K86" i="10"/>
  <c r="K85" i="10"/>
  <c r="K84" i="10"/>
  <c r="K83" i="10"/>
  <c r="K82" i="10"/>
  <c r="K81" i="10"/>
  <c r="I80" i="10"/>
  <c r="H80" i="10"/>
  <c r="G80" i="10"/>
  <c r="F80" i="10"/>
  <c r="E80" i="10"/>
  <c r="B380" i="11"/>
  <c r="B339" i="11"/>
  <c r="B295" i="11"/>
  <c r="B251" i="11"/>
  <c r="M6" i="15"/>
  <c r="E6" i="15"/>
  <c r="I137" i="14"/>
  <c r="H137" i="14"/>
  <c r="G137" i="14"/>
  <c r="F137" i="14"/>
  <c r="E137" i="14"/>
  <c r="I136" i="14"/>
  <c r="H136" i="14"/>
  <c r="G136" i="14"/>
  <c r="F136" i="14"/>
  <c r="E136" i="14"/>
  <c r="I135" i="14"/>
  <c r="H135" i="14"/>
  <c r="G135" i="14"/>
  <c r="F135" i="14"/>
  <c r="E135" i="14"/>
  <c r="I134" i="14"/>
  <c r="H134" i="14"/>
  <c r="G134" i="14"/>
  <c r="F134" i="14"/>
  <c r="E134" i="14"/>
  <c r="I133" i="14"/>
  <c r="H133" i="14"/>
  <c r="G133" i="14"/>
  <c r="F133" i="14"/>
  <c r="E133" i="14"/>
  <c r="I132" i="14"/>
  <c r="H132" i="14"/>
  <c r="G132" i="14"/>
  <c r="F132" i="14"/>
  <c r="E132" i="14"/>
  <c r="I131" i="14"/>
  <c r="H131" i="14"/>
  <c r="G131" i="14"/>
  <c r="F131" i="14"/>
  <c r="E131" i="14"/>
  <c r="I130" i="14"/>
  <c r="H130" i="14"/>
  <c r="G130" i="14"/>
  <c r="F130" i="14"/>
  <c r="E130" i="14"/>
  <c r="I129" i="14"/>
  <c r="H129" i="14"/>
  <c r="G129" i="14"/>
  <c r="F129" i="14"/>
  <c r="E129" i="14"/>
  <c r="I128" i="14"/>
  <c r="H128" i="14"/>
  <c r="G128" i="14"/>
  <c r="F128" i="14"/>
  <c r="E128" i="14"/>
  <c r="I127" i="14"/>
  <c r="H127" i="14"/>
  <c r="G127" i="14"/>
  <c r="F127" i="14"/>
  <c r="E127" i="14"/>
  <c r="I126" i="14"/>
  <c r="H126" i="14"/>
  <c r="G126" i="14"/>
  <c r="F126" i="14"/>
  <c r="E126" i="14"/>
  <c r="I125" i="14"/>
  <c r="H125" i="14"/>
  <c r="G125" i="14"/>
  <c r="F125" i="14"/>
  <c r="E125" i="14"/>
  <c r="I124" i="14"/>
  <c r="H124" i="14"/>
  <c r="G124" i="14"/>
  <c r="F124" i="14"/>
  <c r="E124" i="14"/>
  <c r="I123" i="14"/>
  <c r="H123" i="14"/>
  <c r="G123" i="14"/>
  <c r="F123" i="14"/>
  <c r="E123" i="14"/>
  <c r="I122" i="14"/>
  <c r="H122" i="14"/>
  <c r="G122" i="14"/>
  <c r="F122" i="14"/>
  <c r="E122" i="14"/>
  <c r="I121" i="14"/>
  <c r="G121" i="14"/>
  <c r="F121" i="14"/>
  <c r="E121" i="14"/>
  <c r="I115" i="14"/>
  <c r="H115" i="14"/>
  <c r="G115" i="14"/>
  <c r="F115" i="14"/>
  <c r="E115" i="14"/>
  <c r="I114" i="14"/>
  <c r="H114" i="14"/>
  <c r="G114" i="14"/>
  <c r="F114" i="14"/>
  <c r="E114" i="14"/>
  <c r="I113" i="14"/>
  <c r="H113" i="14"/>
  <c r="G113" i="14"/>
  <c r="F113" i="14"/>
  <c r="E113" i="14"/>
  <c r="I112" i="14"/>
  <c r="I156" i="14" s="1"/>
  <c r="I178" i="14" s="1"/>
  <c r="H112" i="14"/>
  <c r="G112" i="14"/>
  <c r="F112" i="14"/>
  <c r="E112" i="14"/>
  <c r="I111" i="14"/>
  <c r="I155" i="14" s="1"/>
  <c r="I177" i="14" s="1"/>
  <c r="H111" i="14"/>
  <c r="G111" i="14"/>
  <c r="F111" i="14"/>
  <c r="E111" i="14"/>
  <c r="I110" i="14"/>
  <c r="I154" i="14" s="1"/>
  <c r="I176" i="14" s="1"/>
  <c r="H110" i="14"/>
  <c r="G110" i="14"/>
  <c r="F110" i="14"/>
  <c r="E110" i="14"/>
  <c r="I109" i="14"/>
  <c r="I153" i="14" s="1"/>
  <c r="I175" i="14" s="1"/>
  <c r="H109" i="14"/>
  <c r="G109" i="14"/>
  <c r="F109" i="14"/>
  <c r="E109" i="14"/>
  <c r="I108" i="14"/>
  <c r="H108" i="14"/>
  <c r="G108" i="14"/>
  <c r="F108" i="14"/>
  <c r="E108" i="14"/>
  <c r="I107" i="14"/>
  <c r="H107" i="14"/>
  <c r="G107" i="14"/>
  <c r="F107" i="14"/>
  <c r="E107" i="14"/>
  <c r="I106" i="14"/>
  <c r="H106" i="14"/>
  <c r="G106" i="14"/>
  <c r="F106" i="14"/>
  <c r="E106" i="14"/>
  <c r="I105" i="14"/>
  <c r="H105" i="14"/>
  <c r="G105" i="14"/>
  <c r="F105" i="14"/>
  <c r="E105" i="14"/>
  <c r="I104" i="14"/>
  <c r="H104" i="14"/>
  <c r="G104" i="14"/>
  <c r="F104" i="14"/>
  <c r="E104" i="14"/>
  <c r="I103" i="14"/>
  <c r="H103" i="14"/>
  <c r="G103" i="14"/>
  <c r="F103" i="14"/>
  <c r="E103" i="14"/>
  <c r="I102" i="14"/>
  <c r="I146" i="14" s="1"/>
  <c r="I168" i="14" s="1"/>
  <c r="H102" i="14"/>
  <c r="G102" i="14"/>
  <c r="F102" i="14"/>
  <c r="E102" i="14"/>
  <c r="I101" i="14"/>
  <c r="H101" i="14"/>
  <c r="G101" i="14"/>
  <c r="F101" i="14"/>
  <c r="E101" i="14"/>
  <c r="I100" i="14"/>
  <c r="H100" i="14"/>
  <c r="G100" i="14"/>
  <c r="F100" i="14"/>
  <c r="E100" i="14"/>
  <c r="I99" i="14"/>
  <c r="H99" i="14"/>
  <c r="G99" i="14"/>
  <c r="F99" i="14"/>
  <c r="E99" i="14"/>
  <c r="I47" i="14"/>
  <c r="H47" i="14"/>
  <c r="G47" i="14"/>
  <c r="F47" i="14"/>
  <c r="E47" i="14"/>
  <c r="I46" i="14"/>
  <c r="H46" i="14"/>
  <c r="G46" i="14"/>
  <c r="F46" i="14"/>
  <c r="E46" i="14"/>
  <c r="I45" i="14"/>
  <c r="H45" i="14"/>
  <c r="G45" i="14"/>
  <c r="F45" i="14"/>
  <c r="E45" i="14"/>
  <c r="I44" i="14"/>
  <c r="H44" i="14"/>
  <c r="G44" i="14"/>
  <c r="F44" i="14"/>
  <c r="E44" i="14"/>
  <c r="I43" i="14"/>
  <c r="H43" i="14"/>
  <c r="G43" i="14"/>
  <c r="F43" i="14"/>
  <c r="E43" i="14"/>
  <c r="I42" i="14"/>
  <c r="H42" i="14"/>
  <c r="G42" i="14"/>
  <c r="F42" i="14"/>
  <c r="E42" i="14"/>
  <c r="I41" i="14"/>
  <c r="H41" i="14"/>
  <c r="G41" i="14"/>
  <c r="F41" i="14"/>
  <c r="E41" i="14"/>
  <c r="I40" i="14"/>
  <c r="H40" i="14"/>
  <c r="G40" i="14"/>
  <c r="F40" i="14"/>
  <c r="E40" i="14"/>
  <c r="I39" i="14"/>
  <c r="H39" i="14"/>
  <c r="G39" i="14"/>
  <c r="F39" i="14"/>
  <c r="E39" i="14"/>
  <c r="I38" i="14"/>
  <c r="H38" i="14"/>
  <c r="G38" i="14"/>
  <c r="F38" i="14"/>
  <c r="E38" i="14"/>
  <c r="I37" i="14"/>
  <c r="H37" i="14"/>
  <c r="G37" i="14"/>
  <c r="F37" i="14"/>
  <c r="E37" i="14"/>
  <c r="I36" i="14"/>
  <c r="H36" i="14"/>
  <c r="G36" i="14"/>
  <c r="F36" i="14"/>
  <c r="E36" i="14"/>
  <c r="I35" i="14"/>
  <c r="H35" i="14"/>
  <c r="G35" i="14"/>
  <c r="F35" i="14"/>
  <c r="E35" i="14"/>
  <c r="I34" i="14"/>
  <c r="H34" i="14"/>
  <c r="G34" i="14"/>
  <c r="F34" i="14"/>
  <c r="E34" i="14"/>
  <c r="I33" i="14"/>
  <c r="H33" i="14"/>
  <c r="G33" i="14"/>
  <c r="F33" i="14"/>
  <c r="E33" i="14"/>
  <c r="I32" i="14"/>
  <c r="H32" i="14"/>
  <c r="G32" i="14"/>
  <c r="F32" i="14"/>
  <c r="E32" i="14"/>
  <c r="I31" i="14"/>
  <c r="H31" i="14"/>
  <c r="G31" i="14"/>
  <c r="F31" i="14"/>
  <c r="E31" i="14"/>
  <c r="I25" i="14"/>
  <c r="H25" i="14"/>
  <c r="G25" i="14"/>
  <c r="F25" i="14"/>
  <c r="E25" i="14"/>
  <c r="I24" i="14"/>
  <c r="H24" i="14"/>
  <c r="G24" i="14"/>
  <c r="F24" i="14"/>
  <c r="E24" i="14"/>
  <c r="I23" i="14"/>
  <c r="H23" i="14"/>
  <c r="G23" i="14"/>
  <c r="F23" i="14"/>
  <c r="E23" i="14"/>
  <c r="I22" i="14"/>
  <c r="H22" i="14"/>
  <c r="G22" i="14"/>
  <c r="F22" i="14"/>
  <c r="E22" i="14"/>
  <c r="I21" i="14"/>
  <c r="H21" i="14"/>
  <c r="G21" i="14"/>
  <c r="F21" i="14"/>
  <c r="E21" i="14"/>
  <c r="I20" i="14"/>
  <c r="H20" i="14"/>
  <c r="G20" i="14"/>
  <c r="F20" i="14"/>
  <c r="E20" i="14"/>
  <c r="I19" i="14"/>
  <c r="H19" i="14"/>
  <c r="G19" i="14"/>
  <c r="F19" i="14"/>
  <c r="E19" i="14"/>
  <c r="I18" i="14"/>
  <c r="H18" i="14"/>
  <c r="G18" i="14"/>
  <c r="F18" i="14"/>
  <c r="E18" i="14"/>
  <c r="I17" i="14"/>
  <c r="H17" i="14"/>
  <c r="G17" i="14"/>
  <c r="F17" i="14"/>
  <c r="E17" i="14"/>
  <c r="I16" i="14"/>
  <c r="H16" i="14"/>
  <c r="G16" i="14"/>
  <c r="F16" i="14"/>
  <c r="E16" i="14"/>
  <c r="I15" i="14"/>
  <c r="H15" i="14"/>
  <c r="G15" i="14"/>
  <c r="F15" i="14"/>
  <c r="E15" i="14"/>
  <c r="I14" i="14"/>
  <c r="H14" i="14"/>
  <c r="G14" i="14"/>
  <c r="F14" i="14"/>
  <c r="E14" i="14"/>
  <c r="I13" i="14"/>
  <c r="H13" i="14"/>
  <c r="G13" i="14"/>
  <c r="F13" i="14"/>
  <c r="E13" i="14"/>
  <c r="I12" i="14"/>
  <c r="H12" i="14"/>
  <c r="G12" i="14"/>
  <c r="F12" i="14"/>
  <c r="E12" i="14"/>
  <c r="I11" i="14"/>
  <c r="H11" i="14"/>
  <c r="G11" i="14"/>
  <c r="F11" i="14"/>
  <c r="E11" i="14"/>
  <c r="I10" i="14"/>
  <c r="H10" i="14"/>
  <c r="G10" i="14"/>
  <c r="F10" i="14"/>
  <c r="E10" i="14"/>
  <c r="I9" i="14"/>
  <c r="H9" i="14"/>
  <c r="G9" i="14"/>
  <c r="F9" i="14"/>
  <c r="E9" i="14"/>
  <c r="D126" i="7"/>
  <c r="D125" i="7"/>
  <c r="D124" i="7"/>
  <c r="D123" i="7"/>
  <c r="Y123" i="7" s="1"/>
  <c r="I207" i="10" s="1"/>
  <c r="D122" i="7"/>
  <c r="D121" i="7"/>
  <c r="D120" i="7"/>
  <c r="D119" i="7"/>
  <c r="Y119" i="7" s="1"/>
  <c r="I203" i="10" s="1"/>
  <c r="D118" i="7"/>
  <c r="D117" i="7"/>
  <c r="D116" i="7"/>
  <c r="D112" i="7"/>
  <c r="D111" i="7"/>
  <c r="D110" i="7"/>
  <c r="D109" i="7"/>
  <c r="W109" i="7" s="1"/>
  <c r="G188" i="10" s="1"/>
  <c r="D108" i="7"/>
  <c r="D107" i="7"/>
  <c r="D106" i="7"/>
  <c r="D105" i="7"/>
  <c r="D104" i="7"/>
  <c r="D103" i="7"/>
  <c r="D102" i="7"/>
  <c r="D98" i="7"/>
  <c r="W98" i="7" s="1"/>
  <c r="D97" i="7"/>
  <c r="D95" i="7"/>
  <c r="W95" i="7" s="1"/>
  <c r="G172" i="10" s="1"/>
  <c r="D94" i="7"/>
  <c r="D93" i="7"/>
  <c r="D92" i="7"/>
  <c r="D91" i="7"/>
  <c r="D90" i="7"/>
  <c r="D89" i="7"/>
  <c r="D88" i="7"/>
  <c r="D87" i="7"/>
  <c r="D86" i="7"/>
  <c r="D85" i="7"/>
  <c r="D83" i="7"/>
  <c r="D82" i="7"/>
  <c r="D81" i="7"/>
  <c r="D80" i="7"/>
  <c r="D79" i="7"/>
  <c r="D75" i="7"/>
  <c r="Q75" i="7" s="1"/>
  <c r="S75" i="7" s="1"/>
  <c r="D74" i="7"/>
  <c r="D72" i="7"/>
  <c r="D71" i="7"/>
  <c r="D70" i="7"/>
  <c r="D69" i="7"/>
  <c r="D68" i="7"/>
  <c r="D67" i="7"/>
  <c r="D66" i="7"/>
  <c r="D65" i="7"/>
  <c r="D64" i="7"/>
  <c r="D63" i="7"/>
  <c r="D62" i="7"/>
  <c r="D60" i="7"/>
  <c r="D59" i="7"/>
  <c r="D58" i="7"/>
  <c r="D57" i="7"/>
  <c r="D56" i="7"/>
  <c r="D29" i="7"/>
  <c r="D28" i="7"/>
  <c r="D26" i="7"/>
  <c r="Y26" i="7" s="1"/>
  <c r="I97" i="10" s="1"/>
  <c r="D25" i="7"/>
  <c r="D24" i="7"/>
  <c r="D23" i="7"/>
  <c r="D22" i="7"/>
  <c r="D21" i="7"/>
  <c r="D20" i="7"/>
  <c r="O20" i="7" s="1"/>
  <c r="D19" i="7"/>
  <c r="D18" i="7"/>
  <c r="D17" i="7"/>
  <c r="D16" i="7"/>
  <c r="D14" i="7"/>
  <c r="D13" i="7"/>
  <c r="D12" i="7"/>
  <c r="D11" i="7"/>
  <c r="D10" i="7"/>
  <c r="X4" i="7"/>
  <c r="V4" i="7"/>
  <c r="T4" i="7"/>
  <c r="R4" i="7"/>
  <c r="P4" i="7"/>
  <c r="N4" i="7"/>
  <c r="AO138" i="12"/>
  <c r="AS138" i="12" s="1"/>
  <c r="M22" i="13" s="1"/>
  <c r="F63" i="12"/>
  <c r="E34" i="12"/>
  <c r="L367" i="6"/>
  <c r="K367" i="6"/>
  <c r="J367" i="6"/>
  <c r="I367" i="6"/>
  <c r="H367" i="6"/>
  <c r="G367" i="6"/>
  <c r="F367" i="6"/>
  <c r="E367" i="6"/>
  <c r="L366" i="6"/>
  <c r="K366" i="6"/>
  <c r="J366" i="6"/>
  <c r="I366" i="6"/>
  <c r="H366" i="6"/>
  <c r="G366" i="6"/>
  <c r="F366" i="6"/>
  <c r="E366" i="6"/>
  <c r="L365" i="6"/>
  <c r="K365" i="6"/>
  <c r="J365" i="6"/>
  <c r="I365" i="6"/>
  <c r="H365" i="6"/>
  <c r="G365" i="6"/>
  <c r="F365" i="6"/>
  <c r="E365" i="6"/>
  <c r="L364" i="6"/>
  <c r="K364" i="6"/>
  <c r="J364" i="6"/>
  <c r="I364" i="6"/>
  <c r="H364" i="6"/>
  <c r="G364" i="6"/>
  <c r="F364" i="6"/>
  <c r="E364" i="6"/>
  <c r="L363" i="6"/>
  <c r="K363" i="6"/>
  <c r="J363" i="6"/>
  <c r="I363" i="6"/>
  <c r="H363" i="6"/>
  <c r="G363" i="6"/>
  <c r="F363" i="6"/>
  <c r="E363" i="6"/>
  <c r="L362" i="6"/>
  <c r="K362" i="6"/>
  <c r="J362" i="6"/>
  <c r="I362" i="6"/>
  <c r="H362" i="6"/>
  <c r="G362" i="6"/>
  <c r="F362" i="6"/>
  <c r="E362" i="6"/>
  <c r="L361" i="6"/>
  <c r="K361" i="6"/>
  <c r="J361" i="6"/>
  <c r="I361" i="6"/>
  <c r="H361" i="6"/>
  <c r="G361" i="6"/>
  <c r="F361" i="6"/>
  <c r="E361" i="6"/>
  <c r="L360" i="6"/>
  <c r="K360" i="6"/>
  <c r="J360" i="6"/>
  <c r="I360" i="6"/>
  <c r="H360" i="6"/>
  <c r="G360" i="6"/>
  <c r="F360" i="6"/>
  <c r="E360" i="6"/>
  <c r="L359" i="6"/>
  <c r="K359" i="6"/>
  <c r="J359" i="6"/>
  <c r="I359" i="6"/>
  <c r="H359" i="6"/>
  <c r="G359" i="6"/>
  <c r="F359" i="6"/>
  <c r="E359" i="6"/>
  <c r="L358" i="6"/>
  <c r="K358" i="6"/>
  <c r="J358" i="6"/>
  <c r="I358" i="6"/>
  <c r="H358" i="6"/>
  <c r="G358" i="6"/>
  <c r="F358" i="6"/>
  <c r="E358" i="6"/>
  <c r="L357" i="6"/>
  <c r="K357" i="6"/>
  <c r="J357" i="6"/>
  <c r="I357" i="6"/>
  <c r="H357" i="6"/>
  <c r="G357" i="6"/>
  <c r="F357" i="6"/>
  <c r="E357" i="6"/>
  <c r="L356" i="6"/>
  <c r="K356" i="6"/>
  <c r="J356" i="6"/>
  <c r="I356" i="6"/>
  <c r="H356" i="6"/>
  <c r="G356" i="6"/>
  <c r="F356" i="6"/>
  <c r="E356" i="6"/>
  <c r="L355" i="6"/>
  <c r="K355" i="6"/>
  <c r="J355" i="6"/>
  <c r="I355" i="6"/>
  <c r="H355" i="6"/>
  <c r="G355" i="6"/>
  <c r="F355" i="6"/>
  <c r="E355" i="6"/>
  <c r="L354" i="6"/>
  <c r="M34" i="10" s="1"/>
  <c r="J354" i="6"/>
  <c r="I354" i="6"/>
  <c r="H354" i="6"/>
  <c r="G354" i="6"/>
  <c r="F354" i="6"/>
  <c r="E354" i="6"/>
  <c r="L353" i="6"/>
  <c r="K353" i="6"/>
  <c r="I353" i="6"/>
  <c r="H353" i="6"/>
  <c r="G353" i="6"/>
  <c r="F353" i="6"/>
  <c r="E353" i="6"/>
  <c r="L352" i="6"/>
  <c r="K352" i="6"/>
  <c r="J352" i="6"/>
  <c r="I352" i="6"/>
  <c r="H352" i="6"/>
  <c r="G352" i="6"/>
  <c r="F352" i="6"/>
  <c r="E352" i="6"/>
  <c r="L351" i="6"/>
  <c r="K351" i="6"/>
  <c r="J351" i="6"/>
  <c r="I351" i="6"/>
  <c r="H351" i="6"/>
  <c r="G351" i="6"/>
  <c r="F351" i="6"/>
  <c r="E351" i="6"/>
  <c r="L330" i="6"/>
  <c r="K330" i="6"/>
  <c r="J330" i="6"/>
  <c r="I330" i="6"/>
  <c r="H330" i="6"/>
  <c r="G330" i="6"/>
  <c r="F330" i="6"/>
  <c r="E330" i="6"/>
  <c r="L329" i="6"/>
  <c r="K329" i="6"/>
  <c r="J329" i="6"/>
  <c r="I329" i="6"/>
  <c r="H329" i="6"/>
  <c r="G329" i="6"/>
  <c r="F329" i="6"/>
  <c r="E329" i="6"/>
  <c r="L328" i="6"/>
  <c r="K328" i="6"/>
  <c r="J328" i="6"/>
  <c r="I328" i="6"/>
  <c r="H328" i="6"/>
  <c r="G328" i="6"/>
  <c r="F328" i="6"/>
  <c r="E328" i="6"/>
  <c r="L327" i="6"/>
  <c r="K327" i="6"/>
  <c r="J327" i="6"/>
  <c r="I327" i="6"/>
  <c r="H327" i="6"/>
  <c r="G327" i="6"/>
  <c r="F327" i="6"/>
  <c r="E327" i="6"/>
  <c r="L326" i="6"/>
  <c r="K326" i="6"/>
  <c r="J326" i="6"/>
  <c r="I326" i="6"/>
  <c r="H326" i="6"/>
  <c r="G326" i="6"/>
  <c r="F326" i="6"/>
  <c r="E326" i="6"/>
  <c r="L325" i="6"/>
  <c r="K325" i="6"/>
  <c r="J325" i="6"/>
  <c r="I325" i="6"/>
  <c r="H325" i="6"/>
  <c r="G325" i="6"/>
  <c r="F325" i="6"/>
  <c r="E325" i="6"/>
  <c r="L324" i="6"/>
  <c r="K324" i="6"/>
  <c r="J324" i="6"/>
  <c r="I324" i="6"/>
  <c r="H324" i="6"/>
  <c r="G324" i="6"/>
  <c r="F324" i="6"/>
  <c r="E324" i="6"/>
  <c r="L323" i="6"/>
  <c r="K323" i="6"/>
  <c r="J323" i="6"/>
  <c r="I323" i="6"/>
  <c r="H323" i="6"/>
  <c r="G323" i="6"/>
  <c r="F323" i="6"/>
  <c r="E323" i="6"/>
  <c r="L321" i="6"/>
  <c r="K321" i="6"/>
  <c r="J321" i="6"/>
  <c r="I321" i="6"/>
  <c r="H321" i="6"/>
  <c r="G321" i="6"/>
  <c r="F321" i="6"/>
  <c r="E321" i="6"/>
  <c r="L320" i="6"/>
  <c r="K320" i="6"/>
  <c r="J320" i="6"/>
  <c r="I320" i="6"/>
  <c r="H320" i="6"/>
  <c r="G320" i="6"/>
  <c r="F320" i="6"/>
  <c r="E320" i="6"/>
  <c r="L294" i="6"/>
  <c r="K294" i="6"/>
  <c r="J294" i="6"/>
  <c r="I294" i="6"/>
  <c r="H294" i="6"/>
  <c r="G294" i="6"/>
  <c r="F294" i="6"/>
  <c r="E294" i="6"/>
  <c r="L293" i="6"/>
  <c r="K293" i="6"/>
  <c r="J293" i="6"/>
  <c r="I293" i="6"/>
  <c r="H293" i="6"/>
  <c r="G293" i="6"/>
  <c r="F293" i="6"/>
  <c r="E293" i="6"/>
  <c r="L292" i="6"/>
  <c r="K292" i="6"/>
  <c r="J292" i="6"/>
  <c r="I292" i="6"/>
  <c r="H292" i="6"/>
  <c r="G292" i="6"/>
  <c r="F292" i="6"/>
  <c r="E292" i="6"/>
  <c r="L291" i="6"/>
  <c r="K291" i="6"/>
  <c r="J291" i="6"/>
  <c r="I291" i="6"/>
  <c r="H291" i="6"/>
  <c r="G291" i="6"/>
  <c r="F291" i="6"/>
  <c r="E291" i="6"/>
  <c r="L290" i="6"/>
  <c r="K290" i="6"/>
  <c r="J290" i="6"/>
  <c r="I290" i="6"/>
  <c r="H290" i="6"/>
  <c r="G290" i="6"/>
  <c r="F290" i="6"/>
  <c r="E290" i="6"/>
  <c r="L289" i="6"/>
  <c r="K289" i="6"/>
  <c r="J289" i="6"/>
  <c r="I289" i="6"/>
  <c r="H289" i="6"/>
  <c r="G289" i="6"/>
  <c r="F289" i="6"/>
  <c r="E289" i="6"/>
  <c r="L288" i="6"/>
  <c r="K288" i="6"/>
  <c r="J288" i="6"/>
  <c r="I288" i="6"/>
  <c r="H288" i="6"/>
  <c r="G288" i="6"/>
  <c r="F288" i="6"/>
  <c r="E288" i="6"/>
  <c r="L287" i="6"/>
  <c r="K287" i="6"/>
  <c r="J287" i="6"/>
  <c r="I287" i="6"/>
  <c r="H287" i="6"/>
  <c r="G287" i="6"/>
  <c r="F287" i="6"/>
  <c r="E287" i="6"/>
  <c r="L286" i="6"/>
  <c r="K286" i="6"/>
  <c r="J286" i="6"/>
  <c r="I286" i="6"/>
  <c r="H286" i="6"/>
  <c r="G286" i="6"/>
  <c r="F286" i="6"/>
  <c r="E286" i="6"/>
  <c r="L285" i="6"/>
  <c r="K285" i="6"/>
  <c r="J285" i="6"/>
  <c r="I285" i="6"/>
  <c r="H285" i="6"/>
  <c r="G285" i="6"/>
  <c r="F285" i="6"/>
  <c r="E285" i="6"/>
  <c r="L284" i="6"/>
  <c r="K284" i="6"/>
  <c r="J284" i="6"/>
  <c r="I284" i="6"/>
  <c r="H284" i="6"/>
  <c r="G284" i="6"/>
  <c r="F284" i="6"/>
  <c r="E284" i="6"/>
  <c r="L278" i="6"/>
  <c r="I332" i="11" s="1"/>
  <c r="K278" i="6"/>
  <c r="J278" i="6"/>
  <c r="I278" i="6"/>
  <c r="H278" i="6"/>
  <c r="G278" i="6"/>
  <c r="F278" i="6"/>
  <c r="E278" i="6"/>
  <c r="L277" i="6"/>
  <c r="I331" i="11" s="1"/>
  <c r="K277" i="6"/>
  <c r="J277" i="6"/>
  <c r="I277" i="6"/>
  <c r="H277" i="6"/>
  <c r="G277" i="6"/>
  <c r="F277" i="6"/>
  <c r="E277" i="6"/>
  <c r="L276" i="6"/>
  <c r="I330" i="11" s="1"/>
  <c r="K276" i="6"/>
  <c r="J276" i="6"/>
  <c r="I276" i="6"/>
  <c r="H276" i="6"/>
  <c r="G276" i="6"/>
  <c r="F276" i="6"/>
  <c r="E276" i="6"/>
  <c r="L275" i="6"/>
  <c r="I329" i="11" s="1"/>
  <c r="K275" i="6"/>
  <c r="H329" i="11" s="1"/>
  <c r="J275" i="6"/>
  <c r="G329" i="11" s="1"/>
  <c r="I275" i="6"/>
  <c r="F329" i="11" s="1"/>
  <c r="H275" i="6"/>
  <c r="G275" i="6"/>
  <c r="F275" i="6"/>
  <c r="E275" i="6"/>
  <c r="L274" i="6"/>
  <c r="I328" i="11" s="1"/>
  <c r="K274" i="6"/>
  <c r="H328" i="11" s="1"/>
  <c r="J274" i="6"/>
  <c r="I274" i="6"/>
  <c r="F328" i="11" s="1"/>
  <c r="H274" i="6"/>
  <c r="E328" i="11" s="1"/>
  <c r="G274" i="6"/>
  <c r="D328" i="11" s="1"/>
  <c r="F274" i="6"/>
  <c r="F307" i="6" s="1"/>
  <c r="E274" i="6"/>
  <c r="L273" i="6"/>
  <c r="I327" i="11" s="1"/>
  <c r="K273" i="6"/>
  <c r="J273" i="6"/>
  <c r="I273" i="6"/>
  <c r="H273" i="6"/>
  <c r="G273" i="6"/>
  <c r="F273" i="6"/>
  <c r="E273" i="6"/>
  <c r="E306" i="6" s="1"/>
  <c r="L272" i="6"/>
  <c r="K272" i="6"/>
  <c r="J272" i="6"/>
  <c r="I272" i="6"/>
  <c r="H272" i="6"/>
  <c r="G272" i="6"/>
  <c r="F272" i="6"/>
  <c r="E272" i="6"/>
  <c r="L271" i="6"/>
  <c r="I325" i="11" s="1"/>
  <c r="K271" i="6"/>
  <c r="H325" i="11" s="1"/>
  <c r="J271" i="6"/>
  <c r="G325" i="11" s="1"/>
  <c r="I271" i="6"/>
  <c r="F325" i="11" s="1"/>
  <c r="H271" i="6"/>
  <c r="G271" i="6"/>
  <c r="F271" i="6"/>
  <c r="F304" i="6" s="1"/>
  <c r="E271" i="6"/>
  <c r="L270" i="6"/>
  <c r="K270" i="6"/>
  <c r="J270" i="6"/>
  <c r="I270" i="6"/>
  <c r="H270" i="6"/>
  <c r="G270" i="6"/>
  <c r="F270" i="6"/>
  <c r="E270" i="6"/>
  <c r="E303" i="6" s="1"/>
  <c r="L269" i="6"/>
  <c r="I324" i="11" s="1"/>
  <c r="K269" i="6"/>
  <c r="J269" i="6"/>
  <c r="I269" i="6"/>
  <c r="H269" i="6"/>
  <c r="G269" i="6"/>
  <c r="F269" i="6"/>
  <c r="E269" i="6"/>
  <c r="L268" i="6"/>
  <c r="I323" i="11" s="1"/>
  <c r="K268" i="6"/>
  <c r="J268" i="6"/>
  <c r="I268" i="6"/>
  <c r="F323" i="11" s="1"/>
  <c r="H268" i="6"/>
  <c r="E323" i="11" s="1"/>
  <c r="G268" i="6"/>
  <c r="F268" i="6"/>
  <c r="F301" i="6" s="1"/>
  <c r="E268" i="6"/>
  <c r="L259" i="6"/>
  <c r="K259" i="6"/>
  <c r="J259" i="6"/>
  <c r="I259" i="6"/>
  <c r="H259" i="6"/>
  <c r="G259" i="6"/>
  <c r="F259" i="6"/>
  <c r="E259" i="6"/>
  <c r="L258" i="6"/>
  <c r="K258" i="6"/>
  <c r="J258" i="6"/>
  <c r="I258" i="6"/>
  <c r="H258" i="6"/>
  <c r="G258" i="6"/>
  <c r="F258" i="6"/>
  <c r="E258" i="6"/>
  <c r="L257" i="6"/>
  <c r="K257" i="6"/>
  <c r="J257" i="6"/>
  <c r="I257" i="6"/>
  <c r="H257" i="6"/>
  <c r="G257" i="6"/>
  <c r="F257" i="6"/>
  <c r="E257" i="6"/>
  <c r="L256" i="6"/>
  <c r="K256" i="6"/>
  <c r="J256" i="6"/>
  <c r="I256" i="6"/>
  <c r="H256" i="6"/>
  <c r="G256" i="6"/>
  <c r="F256" i="6"/>
  <c r="E256" i="6"/>
  <c r="L255" i="6"/>
  <c r="K255" i="6"/>
  <c r="J255" i="6"/>
  <c r="I255" i="6"/>
  <c r="H255" i="6"/>
  <c r="G255" i="6"/>
  <c r="F255" i="6"/>
  <c r="E255" i="6"/>
  <c r="L254" i="6"/>
  <c r="K254" i="6"/>
  <c r="J254" i="6"/>
  <c r="I254" i="6"/>
  <c r="H254" i="6"/>
  <c r="G254" i="6"/>
  <c r="F254" i="6"/>
  <c r="E254" i="6"/>
  <c r="L253" i="6"/>
  <c r="K253" i="6"/>
  <c r="J253" i="6"/>
  <c r="I253" i="6"/>
  <c r="H253" i="6"/>
  <c r="G253" i="6"/>
  <c r="F253" i="6"/>
  <c r="E253" i="6"/>
  <c r="L252" i="6"/>
  <c r="K252" i="6"/>
  <c r="J252" i="6"/>
  <c r="I252" i="6"/>
  <c r="H252" i="6"/>
  <c r="G252" i="6"/>
  <c r="F252" i="6"/>
  <c r="E252" i="6"/>
  <c r="L251" i="6"/>
  <c r="K251" i="6"/>
  <c r="J251" i="6"/>
  <c r="I251" i="6"/>
  <c r="H251" i="6"/>
  <c r="G251" i="6"/>
  <c r="F251" i="6"/>
  <c r="E251" i="6"/>
  <c r="L250" i="6"/>
  <c r="K250" i="6"/>
  <c r="J250" i="6"/>
  <c r="I250" i="6"/>
  <c r="H250" i="6"/>
  <c r="G250" i="6"/>
  <c r="F250" i="6"/>
  <c r="E250" i="6"/>
  <c r="L249" i="6"/>
  <c r="K249" i="6"/>
  <c r="J249" i="6"/>
  <c r="I249" i="6"/>
  <c r="H249" i="6"/>
  <c r="G249" i="6"/>
  <c r="F249" i="6"/>
  <c r="E249" i="6"/>
  <c r="L248" i="6"/>
  <c r="K248" i="6"/>
  <c r="J248" i="6"/>
  <c r="I248" i="6"/>
  <c r="H248" i="6"/>
  <c r="G248" i="6"/>
  <c r="F248" i="6"/>
  <c r="E248" i="6"/>
  <c r="L247" i="6"/>
  <c r="K247" i="6"/>
  <c r="J247" i="6"/>
  <c r="I247" i="6"/>
  <c r="H247" i="6"/>
  <c r="G247" i="6"/>
  <c r="F247" i="6"/>
  <c r="E247" i="6"/>
  <c r="L246" i="6"/>
  <c r="K246" i="6"/>
  <c r="J246" i="6"/>
  <c r="I246" i="6"/>
  <c r="H246" i="6"/>
  <c r="G246" i="6"/>
  <c r="F246" i="6"/>
  <c r="E246" i="6"/>
  <c r="L245" i="6"/>
  <c r="K245" i="6"/>
  <c r="J245" i="6"/>
  <c r="I245" i="6"/>
  <c r="H245" i="6"/>
  <c r="G245" i="6"/>
  <c r="F245" i="6"/>
  <c r="E245" i="6"/>
  <c r="L244" i="6"/>
  <c r="K244" i="6"/>
  <c r="J244" i="6"/>
  <c r="I244" i="6"/>
  <c r="H244" i="6"/>
  <c r="G244" i="6"/>
  <c r="F244" i="6"/>
  <c r="E244" i="6"/>
  <c r="L243" i="6"/>
  <c r="K243" i="6"/>
  <c r="J243" i="6"/>
  <c r="I243" i="6"/>
  <c r="H243" i="6"/>
  <c r="G243" i="6"/>
  <c r="F243" i="6"/>
  <c r="E243" i="6"/>
  <c r="L236" i="6"/>
  <c r="K236" i="6"/>
  <c r="J236" i="6"/>
  <c r="I236" i="6"/>
  <c r="H236" i="6"/>
  <c r="G236" i="6"/>
  <c r="F236" i="6"/>
  <c r="E236" i="6"/>
  <c r="L235" i="6"/>
  <c r="K235" i="6"/>
  <c r="J235" i="6"/>
  <c r="I235" i="6"/>
  <c r="H235" i="6"/>
  <c r="G235" i="6"/>
  <c r="F235" i="6"/>
  <c r="E235" i="6"/>
  <c r="L234" i="6"/>
  <c r="K234" i="6"/>
  <c r="J234" i="6"/>
  <c r="I234" i="6"/>
  <c r="H234" i="6"/>
  <c r="G234" i="6"/>
  <c r="F234" i="6"/>
  <c r="E234" i="6"/>
  <c r="L233" i="6"/>
  <c r="K233" i="6"/>
  <c r="J233" i="6"/>
  <c r="I233" i="6"/>
  <c r="H233" i="6"/>
  <c r="G233" i="6"/>
  <c r="F233" i="6"/>
  <c r="E233" i="6"/>
  <c r="L232" i="6"/>
  <c r="K232" i="6"/>
  <c r="J232" i="6"/>
  <c r="I232" i="6"/>
  <c r="H232" i="6"/>
  <c r="G232" i="6"/>
  <c r="F232" i="6"/>
  <c r="E232" i="6"/>
  <c r="L231" i="6"/>
  <c r="K231" i="6"/>
  <c r="J231" i="6"/>
  <c r="I231" i="6"/>
  <c r="H231" i="6"/>
  <c r="G231" i="6"/>
  <c r="F231" i="6"/>
  <c r="E231" i="6"/>
  <c r="L230" i="6"/>
  <c r="K230" i="6"/>
  <c r="J230" i="6"/>
  <c r="I230" i="6"/>
  <c r="H230" i="6"/>
  <c r="G230" i="6"/>
  <c r="F230" i="6"/>
  <c r="E230" i="6"/>
  <c r="L229" i="6"/>
  <c r="K229" i="6"/>
  <c r="J229" i="6"/>
  <c r="I229" i="6"/>
  <c r="H229" i="6"/>
  <c r="G229" i="6"/>
  <c r="F229" i="6"/>
  <c r="E229" i="6"/>
  <c r="L228" i="6"/>
  <c r="K228" i="6"/>
  <c r="J228" i="6"/>
  <c r="I228" i="6"/>
  <c r="H228" i="6"/>
  <c r="G228" i="6"/>
  <c r="F228" i="6"/>
  <c r="E228" i="6"/>
  <c r="L227" i="6"/>
  <c r="K227" i="6"/>
  <c r="J227" i="6"/>
  <c r="I227" i="6"/>
  <c r="H227" i="6"/>
  <c r="G227" i="6"/>
  <c r="F227" i="6"/>
  <c r="E227" i="6"/>
  <c r="L226" i="6"/>
  <c r="K226" i="6"/>
  <c r="J226" i="6"/>
  <c r="I226" i="6"/>
  <c r="H226" i="6"/>
  <c r="G226" i="6"/>
  <c r="F226" i="6"/>
  <c r="E226" i="6"/>
  <c r="L225" i="6"/>
  <c r="K225" i="6"/>
  <c r="J225" i="6"/>
  <c r="I225" i="6"/>
  <c r="H225" i="6"/>
  <c r="G225" i="6"/>
  <c r="F225" i="6"/>
  <c r="E225" i="6"/>
  <c r="L224" i="6"/>
  <c r="K224" i="6"/>
  <c r="J224" i="6"/>
  <c r="I224" i="6"/>
  <c r="H224" i="6"/>
  <c r="G224" i="6"/>
  <c r="F224" i="6"/>
  <c r="E224" i="6"/>
  <c r="L223" i="6"/>
  <c r="K223" i="6"/>
  <c r="J223" i="6"/>
  <c r="I223" i="6"/>
  <c r="H223" i="6"/>
  <c r="G223" i="6"/>
  <c r="F223" i="6"/>
  <c r="E223" i="6"/>
  <c r="L222" i="6"/>
  <c r="K222" i="6"/>
  <c r="J222" i="6"/>
  <c r="I222" i="6"/>
  <c r="H222" i="6"/>
  <c r="G222" i="6"/>
  <c r="F222" i="6"/>
  <c r="E222" i="6"/>
  <c r="L221" i="6"/>
  <c r="K221" i="6"/>
  <c r="J221" i="6"/>
  <c r="I221" i="6"/>
  <c r="H221" i="6"/>
  <c r="G221" i="6"/>
  <c r="F221" i="6"/>
  <c r="E221" i="6"/>
  <c r="L220" i="6"/>
  <c r="K220" i="6"/>
  <c r="J220" i="6"/>
  <c r="I220" i="6"/>
  <c r="H220" i="6"/>
  <c r="G220" i="6"/>
  <c r="F220" i="6"/>
  <c r="E220" i="6"/>
  <c r="L188" i="6"/>
  <c r="K188" i="6"/>
  <c r="J188" i="6"/>
  <c r="I188" i="6"/>
  <c r="H188" i="6"/>
  <c r="G188" i="6"/>
  <c r="F188" i="6"/>
  <c r="E188" i="6"/>
  <c r="L187" i="6"/>
  <c r="K187" i="6"/>
  <c r="J187" i="6"/>
  <c r="I187" i="6"/>
  <c r="H187" i="6"/>
  <c r="G187" i="6"/>
  <c r="F187" i="6"/>
  <c r="E187" i="6"/>
  <c r="L186" i="6"/>
  <c r="K186" i="6"/>
  <c r="J186" i="6"/>
  <c r="I186" i="6"/>
  <c r="H186" i="6"/>
  <c r="G186" i="6"/>
  <c r="F186" i="6"/>
  <c r="E186" i="6"/>
  <c r="L185" i="6"/>
  <c r="K185" i="6"/>
  <c r="J185" i="6"/>
  <c r="I185" i="6"/>
  <c r="H185" i="6"/>
  <c r="G185" i="6"/>
  <c r="F185" i="6"/>
  <c r="E185" i="6"/>
  <c r="L184" i="6"/>
  <c r="K184" i="6"/>
  <c r="J184" i="6"/>
  <c r="I184" i="6"/>
  <c r="H184" i="6"/>
  <c r="G184" i="6"/>
  <c r="F184" i="6"/>
  <c r="E184" i="6"/>
  <c r="L183" i="6"/>
  <c r="K183" i="6"/>
  <c r="J183" i="6"/>
  <c r="I183" i="6"/>
  <c r="H183" i="6"/>
  <c r="G183" i="6"/>
  <c r="F183" i="6"/>
  <c r="E183" i="6"/>
  <c r="L182" i="6"/>
  <c r="K182" i="6"/>
  <c r="J182" i="6"/>
  <c r="I182" i="6"/>
  <c r="H182" i="6"/>
  <c r="G182" i="6"/>
  <c r="F182" i="6"/>
  <c r="E182" i="6"/>
  <c r="L181" i="6"/>
  <c r="K181" i="6"/>
  <c r="J181" i="6"/>
  <c r="I181" i="6"/>
  <c r="H181" i="6"/>
  <c r="G181" i="6"/>
  <c r="F181" i="6"/>
  <c r="E181" i="6"/>
  <c r="L180" i="6"/>
  <c r="K180" i="6"/>
  <c r="J180" i="6"/>
  <c r="I180" i="6"/>
  <c r="H180" i="6"/>
  <c r="G180" i="6"/>
  <c r="F180" i="6"/>
  <c r="E180" i="6"/>
  <c r="L179" i="6"/>
  <c r="L202" i="6" s="1"/>
  <c r="K179" i="6"/>
  <c r="J179" i="6"/>
  <c r="I179" i="6"/>
  <c r="I202" i="6" s="1"/>
  <c r="H179" i="6"/>
  <c r="H202" i="6" s="1"/>
  <c r="G179" i="6"/>
  <c r="G202" i="6" s="1"/>
  <c r="F179" i="6"/>
  <c r="F202" i="6" s="1"/>
  <c r="E179" i="6"/>
  <c r="L178" i="6"/>
  <c r="K178" i="6"/>
  <c r="J178" i="6"/>
  <c r="I178" i="6"/>
  <c r="H178" i="6"/>
  <c r="G178" i="6"/>
  <c r="F178" i="6"/>
  <c r="E178" i="6"/>
  <c r="L177" i="6"/>
  <c r="K177" i="6"/>
  <c r="J177" i="6"/>
  <c r="I177" i="6"/>
  <c r="H177" i="6"/>
  <c r="G177" i="6"/>
  <c r="F177" i="6"/>
  <c r="E177" i="6"/>
  <c r="L176" i="6"/>
  <c r="K176" i="6"/>
  <c r="J176" i="6"/>
  <c r="I176" i="6"/>
  <c r="H176" i="6"/>
  <c r="G176" i="6"/>
  <c r="F176" i="6"/>
  <c r="E176" i="6"/>
  <c r="L175" i="6"/>
  <c r="K175" i="6"/>
  <c r="J175" i="6"/>
  <c r="I175" i="6"/>
  <c r="H175" i="6"/>
  <c r="G175" i="6"/>
  <c r="F175" i="6"/>
  <c r="E175" i="6"/>
  <c r="L174" i="6"/>
  <c r="K174" i="6"/>
  <c r="J174" i="6"/>
  <c r="I174" i="6"/>
  <c r="H174" i="6"/>
  <c r="G174" i="6"/>
  <c r="F174" i="6"/>
  <c r="E174" i="6"/>
  <c r="L173" i="6"/>
  <c r="K173" i="6"/>
  <c r="J173" i="6"/>
  <c r="I173" i="6"/>
  <c r="H173" i="6"/>
  <c r="G173" i="6"/>
  <c r="F173" i="6"/>
  <c r="E173" i="6"/>
  <c r="L172" i="6"/>
  <c r="K172" i="6"/>
  <c r="J172" i="6"/>
  <c r="I172" i="6"/>
  <c r="H172" i="6"/>
  <c r="G172" i="6"/>
  <c r="F172" i="6"/>
  <c r="E172" i="6"/>
  <c r="L166" i="6"/>
  <c r="K166" i="6"/>
  <c r="J166" i="6"/>
  <c r="I166" i="6"/>
  <c r="H166" i="6"/>
  <c r="H211" i="6" s="1"/>
  <c r="G166" i="6"/>
  <c r="F166" i="6"/>
  <c r="E166" i="6"/>
  <c r="E211" i="6" s="1"/>
  <c r="L165" i="6"/>
  <c r="K165" i="6"/>
  <c r="J165" i="6"/>
  <c r="I165" i="6"/>
  <c r="H165" i="6"/>
  <c r="G165" i="6"/>
  <c r="F165" i="6"/>
  <c r="E165" i="6"/>
  <c r="L164" i="6"/>
  <c r="K164" i="6"/>
  <c r="J164" i="6"/>
  <c r="I164" i="6"/>
  <c r="H164" i="6"/>
  <c r="G164" i="6"/>
  <c r="F164" i="6"/>
  <c r="E164" i="6"/>
  <c r="L163" i="6"/>
  <c r="K163" i="6"/>
  <c r="J163" i="6"/>
  <c r="I163" i="6"/>
  <c r="H163" i="6"/>
  <c r="H208" i="6" s="1"/>
  <c r="G163" i="6"/>
  <c r="F163" i="6"/>
  <c r="E163" i="6"/>
  <c r="L162" i="6"/>
  <c r="K162" i="6"/>
  <c r="J162" i="6"/>
  <c r="I162" i="6"/>
  <c r="H162" i="6"/>
  <c r="G162" i="6"/>
  <c r="F162" i="6"/>
  <c r="E162" i="6"/>
  <c r="L161" i="6"/>
  <c r="K161" i="6"/>
  <c r="J161" i="6"/>
  <c r="I161" i="6"/>
  <c r="I206" i="6" s="1"/>
  <c r="H161" i="6"/>
  <c r="G161" i="6"/>
  <c r="F161" i="6"/>
  <c r="E161" i="6"/>
  <c r="L160" i="6"/>
  <c r="K160" i="6"/>
  <c r="J160" i="6"/>
  <c r="I160" i="6"/>
  <c r="H160" i="6"/>
  <c r="G160" i="6"/>
  <c r="F160" i="6"/>
  <c r="E160" i="6"/>
  <c r="L159" i="6"/>
  <c r="K159" i="6"/>
  <c r="J159" i="6"/>
  <c r="I159" i="6"/>
  <c r="H159" i="6"/>
  <c r="G159" i="6"/>
  <c r="F159" i="6"/>
  <c r="E159" i="6"/>
  <c r="L158" i="6"/>
  <c r="K158" i="6"/>
  <c r="J158" i="6"/>
  <c r="I158" i="6"/>
  <c r="H158" i="6"/>
  <c r="G158" i="6"/>
  <c r="F158" i="6"/>
  <c r="E158" i="6"/>
  <c r="L156" i="6"/>
  <c r="K156" i="6"/>
  <c r="J156" i="6"/>
  <c r="I156" i="6"/>
  <c r="H156" i="6"/>
  <c r="G156" i="6"/>
  <c r="F156" i="6"/>
  <c r="E156" i="6"/>
  <c r="K155" i="6"/>
  <c r="J155" i="6"/>
  <c r="I155" i="6"/>
  <c r="H155" i="6"/>
  <c r="G155" i="6"/>
  <c r="F155" i="6"/>
  <c r="E155" i="6"/>
  <c r="L154" i="6"/>
  <c r="K154" i="6"/>
  <c r="J154" i="6"/>
  <c r="I154" i="6"/>
  <c r="H154" i="6"/>
  <c r="G154" i="6"/>
  <c r="F154" i="6"/>
  <c r="E154" i="6"/>
  <c r="L153" i="6"/>
  <c r="K153" i="6"/>
  <c r="J153" i="6"/>
  <c r="I153" i="6"/>
  <c r="H153" i="6"/>
  <c r="G153" i="6"/>
  <c r="F153" i="6"/>
  <c r="E153" i="6"/>
  <c r="L152" i="6"/>
  <c r="K152" i="6"/>
  <c r="J152" i="6"/>
  <c r="I152" i="6"/>
  <c r="H152" i="6"/>
  <c r="G152" i="6"/>
  <c r="F152" i="6"/>
  <c r="E152" i="6"/>
  <c r="L151" i="6"/>
  <c r="K151" i="6"/>
  <c r="J151" i="6"/>
  <c r="I151" i="6"/>
  <c r="H151" i="6"/>
  <c r="G151" i="6"/>
  <c r="F151" i="6"/>
  <c r="E151" i="6"/>
  <c r="L150" i="6"/>
  <c r="K150" i="6"/>
  <c r="J150" i="6"/>
  <c r="I150" i="6"/>
  <c r="H150" i="6"/>
  <c r="G150" i="6"/>
  <c r="F150" i="6"/>
  <c r="E150" i="6"/>
  <c r="L48" i="6"/>
  <c r="K48" i="6"/>
  <c r="J48" i="6"/>
  <c r="I48" i="6"/>
  <c r="H48" i="6"/>
  <c r="G48" i="6"/>
  <c r="F48" i="6"/>
  <c r="E48" i="6"/>
  <c r="L47" i="6"/>
  <c r="K47" i="6"/>
  <c r="J47" i="6"/>
  <c r="I47" i="6"/>
  <c r="H47" i="6"/>
  <c r="G47" i="6"/>
  <c r="F47" i="6"/>
  <c r="E47" i="6"/>
  <c r="L46" i="6"/>
  <c r="K46" i="6"/>
  <c r="J46" i="6"/>
  <c r="I46" i="6"/>
  <c r="H46" i="6"/>
  <c r="G46" i="6"/>
  <c r="F46" i="6"/>
  <c r="E46" i="6"/>
  <c r="L45" i="6"/>
  <c r="K45" i="6"/>
  <c r="J45" i="6"/>
  <c r="I45" i="6"/>
  <c r="H45" i="6"/>
  <c r="G45" i="6"/>
  <c r="F45" i="6"/>
  <c r="E45" i="6"/>
  <c r="L44" i="6"/>
  <c r="K44" i="6"/>
  <c r="J44" i="6"/>
  <c r="I44" i="6"/>
  <c r="H44" i="6"/>
  <c r="G44" i="6"/>
  <c r="F44" i="6"/>
  <c r="E44" i="6"/>
  <c r="L43" i="6"/>
  <c r="K43" i="6"/>
  <c r="J43" i="6"/>
  <c r="I43" i="6"/>
  <c r="H43" i="6"/>
  <c r="G43" i="6"/>
  <c r="F43" i="6"/>
  <c r="E43" i="6"/>
  <c r="L42" i="6"/>
  <c r="K42" i="6"/>
  <c r="J42" i="6"/>
  <c r="I42" i="6"/>
  <c r="H42" i="6"/>
  <c r="G42" i="6"/>
  <c r="F42" i="6"/>
  <c r="E42" i="6"/>
  <c r="L41" i="6"/>
  <c r="K41" i="6"/>
  <c r="J41" i="6"/>
  <c r="I41" i="6"/>
  <c r="H41" i="6"/>
  <c r="G41" i="6"/>
  <c r="F41" i="6"/>
  <c r="E41" i="6"/>
  <c r="L40" i="6"/>
  <c r="K40" i="6"/>
  <c r="J40" i="6"/>
  <c r="I40" i="6"/>
  <c r="H40" i="6"/>
  <c r="G40" i="6"/>
  <c r="F40" i="6"/>
  <c r="E40" i="6"/>
  <c r="L39" i="6"/>
  <c r="K39" i="6"/>
  <c r="J39" i="6"/>
  <c r="I39" i="6"/>
  <c r="H39" i="6"/>
  <c r="G39" i="6"/>
  <c r="F39" i="6"/>
  <c r="E39" i="6"/>
  <c r="L38" i="6"/>
  <c r="K38" i="6"/>
  <c r="J38" i="6"/>
  <c r="I38" i="6"/>
  <c r="H38" i="6"/>
  <c r="G38" i="6"/>
  <c r="F38" i="6"/>
  <c r="E38" i="6"/>
  <c r="L37" i="6"/>
  <c r="K37" i="6"/>
  <c r="J37" i="6"/>
  <c r="I37" i="6"/>
  <c r="H37" i="6"/>
  <c r="G37" i="6"/>
  <c r="F37" i="6"/>
  <c r="E37" i="6"/>
  <c r="L36" i="6"/>
  <c r="K36" i="6"/>
  <c r="J36" i="6"/>
  <c r="I36" i="6"/>
  <c r="H36" i="6"/>
  <c r="G36" i="6"/>
  <c r="F36" i="6"/>
  <c r="E36" i="6"/>
  <c r="L35" i="6"/>
  <c r="K35" i="6"/>
  <c r="J35" i="6"/>
  <c r="I35" i="6"/>
  <c r="H35" i="6"/>
  <c r="G35" i="6"/>
  <c r="F35" i="6"/>
  <c r="E35" i="6"/>
  <c r="L34" i="6"/>
  <c r="K34" i="6"/>
  <c r="J34" i="6"/>
  <c r="I34" i="6"/>
  <c r="H34" i="6"/>
  <c r="G34" i="6"/>
  <c r="F34" i="6"/>
  <c r="E34" i="6"/>
  <c r="L33" i="6"/>
  <c r="K33" i="6"/>
  <c r="J33" i="6"/>
  <c r="I33" i="6"/>
  <c r="H33" i="6"/>
  <c r="G33" i="6"/>
  <c r="F33" i="6"/>
  <c r="E33" i="6"/>
  <c r="L32" i="6"/>
  <c r="K32" i="6"/>
  <c r="J32" i="6"/>
  <c r="I32" i="6"/>
  <c r="H32" i="6"/>
  <c r="G32" i="6"/>
  <c r="F32" i="6"/>
  <c r="E32" i="6"/>
  <c r="L26" i="6"/>
  <c r="K26" i="6"/>
  <c r="J26" i="6"/>
  <c r="I26" i="6"/>
  <c r="H26" i="6"/>
  <c r="G26" i="6"/>
  <c r="F26" i="6"/>
  <c r="F71" i="6" s="1"/>
  <c r="E26" i="6"/>
  <c r="L25" i="6"/>
  <c r="K25" i="6"/>
  <c r="K70" i="6" s="1"/>
  <c r="J25" i="6"/>
  <c r="I25" i="6"/>
  <c r="H25" i="6"/>
  <c r="G25" i="6"/>
  <c r="F25" i="6"/>
  <c r="E25" i="6"/>
  <c r="L24" i="6"/>
  <c r="K24" i="6"/>
  <c r="J24" i="6"/>
  <c r="J69" i="6" s="1"/>
  <c r="I24" i="6"/>
  <c r="H24" i="6"/>
  <c r="G24" i="6"/>
  <c r="F24" i="6"/>
  <c r="E24" i="6"/>
  <c r="L23" i="6"/>
  <c r="K23" i="6"/>
  <c r="J23" i="6"/>
  <c r="I23" i="6"/>
  <c r="H23" i="6"/>
  <c r="G23" i="6"/>
  <c r="F23" i="6"/>
  <c r="E23" i="6"/>
  <c r="L22" i="6"/>
  <c r="K22" i="6"/>
  <c r="J22" i="6"/>
  <c r="I22" i="6"/>
  <c r="H22" i="6"/>
  <c r="G22" i="6"/>
  <c r="F22" i="6"/>
  <c r="E22" i="6"/>
  <c r="L21" i="6"/>
  <c r="K21" i="6"/>
  <c r="J21" i="6"/>
  <c r="J66" i="6" s="1"/>
  <c r="I21" i="6"/>
  <c r="H21" i="6"/>
  <c r="G21" i="6"/>
  <c r="G66" i="6" s="1"/>
  <c r="F21" i="6"/>
  <c r="E21" i="6"/>
  <c r="L20" i="6"/>
  <c r="K20" i="6"/>
  <c r="J20" i="6"/>
  <c r="I20" i="6"/>
  <c r="H20" i="6"/>
  <c r="G20" i="6"/>
  <c r="F20" i="6"/>
  <c r="E20" i="6"/>
  <c r="L19" i="6"/>
  <c r="K19" i="6"/>
  <c r="J19" i="6"/>
  <c r="I19" i="6"/>
  <c r="H19" i="6"/>
  <c r="G19" i="6"/>
  <c r="F19" i="6"/>
  <c r="E19" i="6"/>
  <c r="L18" i="6"/>
  <c r="K18" i="6"/>
  <c r="J18" i="6"/>
  <c r="I18" i="6"/>
  <c r="H18" i="6"/>
  <c r="G18" i="6"/>
  <c r="F18" i="6"/>
  <c r="E18" i="6"/>
  <c r="L17" i="6"/>
  <c r="K17" i="6"/>
  <c r="J17" i="6"/>
  <c r="I17" i="6"/>
  <c r="H17" i="6"/>
  <c r="G17" i="6"/>
  <c r="F17" i="6"/>
  <c r="F62" i="6" s="1"/>
  <c r="E17" i="6"/>
  <c r="L16" i="6"/>
  <c r="K16" i="6"/>
  <c r="K61" i="6" s="1"/>
  <c r="J16" i="6"/>
  <c r="I16" i="6"/>
  <c r="H16" i="6"/>
  <c r="G16" i="6"/>
  <c r="F16" i="6"/>
  <c r="F61" i="6" s="1"/>
  <c r="E16" i="6"/>
  <c r="L15" i="6"/>
  <c r="K15" i="6"/>
  <c r="J15" i="6"/>
  <c r="I15" i="6"/>
  <c r="H15" i="6"/>
  <c r="G15" i="6"/>
  <c r="F15" i="6"/>
  <c r="E15" i="6"/>
  <c r="L14" i="6"/>
  <c r="K14" i="6"/>
  <c r="J14" i="6"/>
  <c r="I14" i="6"/>
  <c r="H14" i="6"/>
  <c r="G14" i="6"/>
  <c r="F14" i="6"/>
  <c r="E14" i="6"/>
  <c r="L13" i="6"/>
  <c r="K13" i="6"/>
  <c r="J13" i="6"/>
  <c r="I13" i="6"/>
  <c r="H13" i="6"/>
  <c r="G13" i="6"/>
  <c r="F13" i="6"/>
  <c r="F58" i="6" s="1"/>
  <c r="E13" i="6"/>
  <c r="L12" i="6"/>
  <c r="K12" i="6"/>
  <c r="J12" i="6"/>
  <c r="I12" i="6"/>
  <c r="H12" i="6"/>
  <c r="G12" i="6"/>
  <c r="F12" i="6"/>
  <c r="E12" i="6"/>
  <c r="L11" i="6"/>
  <c r="K11" i="6"/>
  <c r="J11" i="6"/>
  <c r="J56" i="6" s="1"/>
  <c r="I11" i="6"/>
  <c r="H11" i="6"/>
  <c r="G11" i="6"/>
  <c r="F11" i="6"/>
  <c r="F56" i="6" s="1"/>
  <c r="E11" i="6"/>
  <c r="L10" i="6"/>
  <c r="K10" i="6"/>
  <c r="J10" i="6"/>
  <c r="I10" i="6"/>
  <c r="H10" i="6"/>
  <c r="G10" i="6"/>
  <c r="F10" i="6"/>
  <c r="F55" i="6" s="1"/>
  <c r="E10" i="6"/>
  <c r="L257" i="8"/>
  <c r="K257" i="8"/>
  <c r="L256" i="8"/>
  <c r="K256" i="8"/>
  <c r="L255" i="8"/>
  <c r="K255" i="8"/>
  <c r="L254" i="8"/>
  <c r="K254" i="8"/>
  <c r="L252" i="8"/>
  <c r="K252" i="8"/>
  <c r="L253" i="8"/>
  <c r="K253" i="8"/>
  <c r="L251" i="8"/>
  <c r="K251" i="8"/>
  <c r="L249" i="8"/>
  <c r="K249" i="8"/>
  <c r="L250" i="8"/>
  <c r="K250" i="8"/>
  <c r="L248" i="8"/>
  <c r="K248" i="8"/>
  <c r="L246" i="8"/>
  <c r="K246" i="8"/>
  <c r="L247" i="8"/>
  <c r="K247" i="8"/>
  <c r="L245" i="8"/>
  <c r="K245" i="8"/>
  <c r="L244" i="8"/>
  <c r="K244" i="8"/>
  <c r="L243" i="8"/>
  <c r="K243" i="8"/>
  <c r="L242" i="8"/>
  <c r="K242" i="8"/>
  <c r="L238" i="8"/>
  <c r="K238" i="8"/>
  <c r="L237" i="8"/>
  <c r="K237" i="8"/>
  <c r="L236" i="8"/>
  <c r="K236" i="8"/>
  <c r="L235" i="8"/>
  <c r="K235" i="8"/>
  <c r="L233" i="8"/>
  <c r="K233" i="8"/>
  <c r="L234" i="8"/>
  <c r="K234" i="8"/>
  <c r="L232" i="8"/>
  <c r="K232" i="8"/>
  <c r="L230" i="8"/>
  <c r="K230" i="8"/>
  <c r="L231" i="8"/>
  <c r="K231" i="8"/>
  <c r="L229" i="8"/>
  <c r="K229" i="8"/>
  <c r="L227" i="8"/>
  <c r="K227" i="8"/>
  <c r="L226" i="8"/>
  <c r="K226" i="8"/>
  <c r="L225" i="8"/>
  <c r="K225" i="8"/>
  <c r="L224" i="8"/>
  <c r="K224" i="8"/>
  <c r="L223" i="8"/>
  <c r="K223" i="8"/>
  <c r="L217" i="8"/>
  <c r="K217" i="8"/>
  <c r="L216" i="8"/>
  <c r="K216" i="8"/>
  <c r="L215" i="8"/>
  <c r="K215" i="8"/>
  <c r="L213" i="8"/>
  <c r="K213" i="8"/>
  <c r="L212" i="8"/>
  <c r="K212" i="8"/>
  <c r="L211" i="8"/>
  <c r="K211" i="8"/>
  <c r="L210" i="8"/>
  <c r="K210" i="8"/>
  <c r="L209" i="8"/>
  <c r="K209" i="8"/>
  <c r="L208" i="8"/>
  <c r="K208" i="8"/>
  <c r="L207" i="8"/>
  <c r="K207" i="8"/>
  <c r="L205" i="8"/>
  <c r="K205" i="8"/>
  <c r="L201" i="8"/>
  <c r="K201" i="8"/>
  <c r="L200" i="8"/>
  <c r="K200" i="8"/>
  <c r="L199" i="8"/>
  <c r="K199" i="8"/>
  <c r="L197" i="8"/>
  <c r="K197" i="8"/>
  <c r="L196" i="8"/>
  <c r="K196" i="8"/>
  <c r="L195" i="8"/>
  <c r="K195" i="8"/>
  <c r="L194" i="8"/>
  <c r="K194" i="8"/>
  <c r="L193" i="8"/>
  <c r="K193" i="8"/>
  <c r="L192" i="8"/>
  <c r="K192" i="8"/>
  <c r="L191" i="8"/>
  <c r="K191" i="8"/>
  <c r="L189" i="8"/>
  <c r="K189" i="8"/>
  <c r="L135" i="8"/>
  <c r="K135" i="8"/>
  <c r="L134" i="8"/>
  <c r="K134" i="8"/>
  <c r="L133" i="8"/>
  <c r="K133" i="8"/>
  <c r="L132" i="8"/>
  <c r="K132" i="8"/>
  <c r="L131" i="8"/>
  <c r="K131" i="8"/>
  <c r="L130" i="8"/>
  <c r="K130" i="8"/>
  <c r="L129" i="8"/>
  <c r="K129" i="8"/>
  <c r="L128" i="8"/>
  <c r="K128" i="8"/>
  <c r="L127" i="8"/>
  <c r="K127" i="8"/>
  <c r="L126" i="8"/>
  <c r="K126" i="8"/>
  <c r="L125" i="8"/>
  <c r="K125" i="8"/>
  <c r="L124" i="8"/>
  <c r="K124" i="8"/>
  <c r="L123" i="8"/>
  <c r="K123" i="8"/>
  <c r="L122" i="8"/>
  <c r="K122" i="8"/>
  <c r="L121" i="8"/>
  <c r="K121" i="8"/>
  <c r="L120" i="8"/>
  <c r="K120" i="8"/>
  <c r="L119" i="8"/>
  <c r="K119" i="8"/>
  <c r="L118" i="8"/>
  <c r="K118" i="8"/>
  <c r="L117" i="8"/>
  <c r="K117" i="8"/>
  <c r="L113" i="8"/>
  <c r="K113" i="8"/>
  <c r="L112" i="8"/>
  <c r="K112" i="8"/>
  <c r="L111" i="8"/>
  <c r="K111" i="8"/>
  <c r="L110" i="8"/>
  <c r="K110" i="8"/>
  <c r="L109" i="8"/>
  <c r="K109" i="8"/>
  <c r="L108" i="8"/>
  <c r="K108" i="8"/>
  <c r="L107" i="8"/>
  <c r="K107" i="8"/>
  <c r="L106" i="8"/>
  <c r="K106" i="8"/>
  <c r="L105" i="8"/>
  <c r="K105" i="8"/>
  <c r="L104" i="8"/>
  <c r="K104" i="8"/>
  <c r="L103" i="8"/>
  <c r="K103" i="8"/>
  <c r="L102" i="8"/>
  <c r="K102" i="8"/>
  <c r="L101" i="8"/>
  <c r="K101" i="8"/>
  <c r="L100" i="8"/>
  <c r="K100" i="8"/>
  <c r="L99" i="8"/>
  <c r="K99" i="8"/>
  <c r="L98" i="8"/>
  <c r="K98" i="8"/>
  <c r="L97" i="8"/>
  <c r="K97" i="8"/>
  <c r="L96" i="8"/>
  <c r="K96" i="8"/>
  <c r="L95" i="8"/>
  <c r="K95" i="8"/>
  <c r="L51" i="8"/>
  <c r="K51" i="8"/>
  <c r="L50" i="8"/>
  <c r="K50" i="8"/>
  <c r="L49" i="8"/>
  <c r="K49" i="8"/>
  <c r="L37" i="8"/>
  <c r="K37" i="8"/>
  <c r="L36" i="8"/>
  <c r="K36" i="8"/>
  <c r="L35" i="8"/>
  <c r="K35" i="8"/>
  <c r="L34" i="8"/>
  <c r="K34" i="8"/>
  <c r="L26" i="8"/>
  <c r="K26" i="8"/>
  <c r="L25" i="8"/>
  <c r="K25" i="8"/>
  <c r="L24" i="8"/>
  <c r="K24" i="8"/>
  <c r="L23" i="8"/>
  <c r="K23" i="8"/>
  <c r="L22" i="8"/>
  <c r="K22" i="8"/>
  <c r="L21" i="8"/>
  <c r="K21" i="8"/>
  <c r="X16" i="7"/>
  <c r="H87" i="10" s="1"/>
  <c r="L12" i="8"/>
  <c r="K12" i="8"/>
  <c r="L11" i="8"/>
  <c r="K11" i="8"/>
  <c r="L10" i="8"/>
  <c r="K10" i="8"/>
  <c r="L9" i="8"/>
  <c r="K9" i="8"/>
  <c r="L305" i="1"/>
  <c r="K305" i="1"/>
  <c r="J305" i="1"/>
  <c r="I305" i="1"/>
  <c r="H305" i="1"/>
  <c r="G305" i="1"/>
  <c r="F305" i="1"/>
  <c r="E305" i="1"/>
  <c r="L281" i="1"/>
  <c r="K281" i="1"/>
  <c r="J281" i="1"/>
  <c r="I281" i="1"/>
  <c r="H281" i="1"/>
  <c r="G281" i="1"/>
  <c r="F281" i="1"/>
  <c r="E281" i="1"/>
  <c r="L255" i="1"/>
  <c r="L239" i="1" s="1"/>
  <c r="K255" i="1"/>
  <c r="K239" i="1" s="1"/>
  <c r="J255" i="1"/>
  <c r="J239" i="1" s="1"/>
  <c r="I255" i="1"/>
  <c r="I239" i="1" s="1"/>
  <c r="H255" i="1"/>
  <c r="H239" i="1" s="1"/>
  <c r="G255" i="1"/>
  <c r="G239" i="1" s="1"/>
  <c r="F255" i="1"/>
  <c r="F239" i="1" s="1"/>
  <c r="E255" i="1"/>
  <c r="E239" i="1" s="1"/>
  <c r="L221" i="1"/>
  <c r="K221" i="1"/>
  <c r="J221" i="1"/>
  <c r="I221" i="1"/>
  <c r="H221" i="1"/>
  <c r="G221" i="1"/>
  <c r="F221" i="1"/>
  <c r="E221" i="1"/>
  <c r="L187" i="1"/>
  <c r="L165" i="1" s="1"/>
  <c r="K187" i="1"/>
  <c r="K165" i="1" s="1"/>
  <c r="J187" i="1"/>
  <c r="J165" i="1" s="1"/>
  <c r="I187" i="1"/>
  <c r="I165" i="1" s="1"/>
  <c r="H187" i="1"/>
  <c r="H165" i="1" s="1"/>
  <c r="G187" i="1"/>
  <c r="G165" i="1" s="1"/>
  <c r="F187" i="1"/>
  <c r="F165" i="1" s="1"/>
  <c r="E187" i="1"/>
  <c r="E165" i="1" s="1"/>
  <c r="L141" i="1"/>
  <c r="J141" i="1"/>
  <c r="J119" i="1" s="1"/>
  <c r="I141" i="1"/>
  <c r="I119" i="1" s="1"/>
  <c r="H141" i="1"/>
  <c r="H119" i="1" s="1"/>
  <c r="G141" i="1"/>
  <c r="G119" i="1" s="1"/>
  <c r="F141" i="1"/>
  <c r="F119" i="1" s="1"/>
  <c r="E141" i="1"/>
  <c r="E119" i="1" s="1"/>
  <c r="K119" i="1"/>
  <c r="L49" i="1"/>
  <c r="K49" i="1"/>
  <c r="J49" i="1"/>
  <c r="I49" i="1"/>
  <c r="H49" i="1"/>
  <c r="G49" i="1"/>
  <c r="F49" i="1"/>
  <c r="E49" i="1"/>
  <c r="L27" i="1"/>
  <c r="K27" i="1"/>
  <c r="J27" i="1"/>
  <c r="I27" i="1"/>
  <c r="H27" i="1"/>
  <c r="G27" i="1"/>
  <c r="F27" i="1"/>
  <c r="E27" i="1"/>
  <c r="I148" i="14" l="1"/>
  <c r="I170" i="14" s="1"/>
  <c r="E52" i="12"/>
  <c r="E48" i="12"/>
  <c r="E45" i="12"/>
  <c r="E42" i="12"/>
  <c r="E41" i="12"/>
  <c r="E38" i="12"/>
  <c r="E53" i="12"/>
  <c r="E44" i="12"/>
  <c r="E51" i="12"/>
  <c r="E49" i="12"/>
  <c r="E54" i="12"/>
  <c r="E43" i="12"/>
  <c r="E47" i="12"/>
  <c r="E39" i="12"/>
  <c r="E46" i="12"/>
  <c r="E36" i="12"/>
  <c r="E37" i="12"/>
  <c r="I326" i="11"/>
  <c r="N220" i="6"/>
  <c r="O220" i="6" s="1"/>
  <c r="N221" i="6"/>
  <c r="O221" i="6" s="1"/>
  <c r="N222" i="6"/>
  <c r="O222" i="6" s="1"/>
  <c r="N223" i="6"/>
  <c r="O223" i="6" s="1"/>
  <c r="N224" i="6"/>
  <c r="O224" i="6" s="1"/>
  <c r="N225" i="6"/>
  <c r="O225" i="6" s="1"/>
  <c r="N226" i="6"/>
  <c r="O226" i="6" s="1"/>
  <c r="N227" i="6"/>
  <c r="O227" i="6" s="1"/>
  <c r="N228" i="6"/>
  <c r="O228" i="6" s="1"/>
  <c r="N229" i="6"/>
  <c r="O229" i="6" s="1"/>
  <c r="N230" i="6"/>
  <c r="O230" i="6" s="1"/>
  <c r="N231" i="6"/>
  <c r="O231" i="6" s="1"/>
  <c r="N232" i="6"/>
  <c r="O232" i="6" s="1"/>
  <c r="N233" i="6"/>
  <c r="O233" i="6" s="1"/>
  <c r="N234" i="6"/>
  <c r="O234" i="6" s="1"/>
  <c r="N235" i="6"/>
  <c r="O235" i="6" s="1"/>
  <c r="N236" i="6"/>
  <c r="O236" i="6" s="1"/>
  <c r="N243" i="6"/>
  <c r="O243" i="6" s="1"/>
  <c r="N244" i="6"/>
  <c r="O244" i="6" s="1"/>
  <c r="N245" i="6"/>
  <c r="O245" i="6" s="1"/>
  <c r="N246" i="6"/>
  <c r="O246" i="6" s="1"/>
  <c r="N247" i="6"/>
  <c r="O247" i="6" s="1"/>
  <c r="N248" i="6"/>
  <c r="O248" i="6" s="1"/>
  <c r="N249" i="6"/>
  <c r="O249" i="6" s="1"/>
  <c r="N250" i="6"/>
  <c r="O250" i="6" s="1"/>
  <c r="N251" i="6"/>
  <c r="O251" i="6" s="1"/>
  <c r="N252" i="6"/>
  <c r="O252" i="6" s="1"/>
  <c r="N253" i="6"/>
  <c r="O253" i="6" s="1"/>
  <c r="N254" i="6"/>
  <c r="O254" i="6" s="1"/>
  <c r="N255" i="6"/>
  <c r="O255" i="6" s="1"/>
  <c r="N256" i="6"/>
  <c r="O256" i="6" s="1"/>
  <c r="N257" i="6"/>
  <c r="O257" i="6" s="1"/>
  <c r="N258" i="6"/>
  <c r="O258" i="6" s="1"/>
  <c r="N259" i="6"/>
  <c r="O259" i="6" s="1"/>
  <c r="Q220" i="6"/>
  <c r="R220" i="6" s="1"/>
  <c r="Q221" i="6"/>
  <c r="R221" i="6" s="1"/>
  <c r="Q222" i="6"/>
  <c r="R222" i="6" s="1"/>
  <c r="Q223" i="6"/>
  <c r="R223" i="6" s="1"/>
  <c r="Q224" i="6"/>
  <c r="R224" i="6" s="1"/>
  <c r="Q225" i="6"/>
  <c r="R225" i="6" s="1"/>
  <c r="Q226" i="6"/>
  <c r="R226" i="6" s="1"/>
  <c r="Q227" i="6"/>
  <c r="R227" i="6" s="1"/>
  <c r="Q228" i="6"/>
  <c r="R228" i="6" s="1"/>
  <c r="Q229" i="6"/>
  <c r="R229" i="6" s="1"/>
  <c r="Q230" i="6"/>
  <c r="R230" i="6" s="1"/>
  <c r="Q231" i="6"/>
  <c r="R231" i="6" s="1"/>
  <c r="Q232" i="6"/>
  <c r="R232" i="6" s="1"/>
  <c r="Q233" i="6"/>
  <c r="R233" i="6" s="1"/>
  <c r="Q234" i="6"/>
  <c r="R234" i="6" s="1"/>
  <c r="Q235" i="6"/>
  <c r="R235" i="6" s="1"/>
  <c r="Q236" i="6"/>
  <c r="R236" i="6" s="1"/>
  <c r="Q243" i="6"/>
  <c r="R243" i="6" s="1"/>
  <c r="Q244" i="6"/>
  <c r="R244" i="6" s="1"/>
  <c r="Q245" i="6"/>
  <c r="R245" i="6" s="1"/>
  <c r="Q246" i="6"/>
  <c r="R246" i="6" s="1"/>
  <c r="Q247" i="6"/>
  <c r="R247" i="6" s="1"/>
  <c r="Q248" i="6"/>
  <c r="R248" i="6" s="1"/>
  <c r="Q249" i="6"/>
  <c r="R249" i="6" s="1"/>
  <c r="Q250" i="6"/>
  <c r="R250" i="6" s="1"/>
  <c r="Q251" i="6"/>
  <c r="R251" i="6" s="1"/>
  <c r="Q252" i="6"/>
  <c r="R252" i="6" s="1"/>
  <c r="Q253" i="6"/>
  <c r="R253" i="6" s="1"/>
  <c r="Q254" i="6"/>
  <c r="R254" i="6" s="1"/>
  <c r="Q255" i="6"/>
  <c r="R255" i="6" s="1"/>
  <c r="Q256" i="6"/>
  <c r="R256" i="6" s="1"/>
  <c r="Q257" i="6"/>
  <c r="R257" i="6" s="1"/>
  <c r="Q258" i="6"/>
  <c r="R258" i="6" s="1"/>
  <c r="Q259" i="6"/>
  <c r="R259" i="6" s="1"/>
  <c r="Q269" i="6"/>
  <c r="R269" i="6" s="1"/>
  <c r="Q270" i="6"/>
  <c r="R270" i="6" s="1"/>
  <c r="Q272" i="6"/>
  <c r="R272" i="6" s="1"/>
  <c r="Q273" i="6"/>
  <c r="R273" i="6" s="1"/>
  <c r="Q275" i="6"/>
  <c r="R275" i="6" s="1"/>
  <c r="Q276" i="6"/>
  <c r="R276" i="6" s="1"/>
  <c r="Q277" i="6"/>
  <c r="R277" i="6" s="1"/>
  <c r="Q278" i="6"/>
  <c r="R278" i="6" s="1"/>
  <c r="Q320" i="6"/>
  <c r="R320" i="6" s="1"/>
  <c r="Q321" i="6"/>
  <c r="R321" i="6" s="1"/>
  <c r="Q323" i="6"/>
  <c r="R323" i="6" s="1"/>
  <c r="Q324" i="6"/>
  <c r="R324" i="6" s="1"/>
  <c r="Q325" i="6"/>
  <c r="R325" i="6" s="1"/>
  <c r="Q326" i="6"/>
  <c r="R326" i="6" s="1"/>
  <c r="Q327" i="6"/>
  <c r="R327" i="6" s="1"/>
  <c r="Q328" i="6"/>
  <c r="R328" i="6" s="1"/>
  <c r="Q329" i="6"/>
  <c r="R329" i="6" s="1"/>
  <c r="Q330" i="6"/>
  <c r="R330" i="6" s="1"/>
  <c r="Q156" i="6"/>
  <c r="R156" i="6" s="1"/>
  <c r="N156" i="6"/>
  <c r="O156" i="6" s="1"/>
  <c r="L206" i="6"/>
  <c r="N161" i="6"/>
  <c r="O161" i="6" s="1"/>
  <c r="Q161" i="6"/>
  <c r="R161" i="6" s="1"/>
  <c r="N163" i="6"/>
  <c r="O163" i="6" s="1"/>
  <c r="Q163" i="6"/>
  <c r="R163" i="6" s="1"/>
  <c r="N151" i="6"/>
  <c r="O151" i="6" s="1"/>
  <c r="Q151" i="6"/>
  <c r="R151" i="6" s="1"/>
  <c r="Q154" i="6"/>
  <c r="R154" i="6" s="1"/>
  <c r="N154" i="6"/>
  <c r="O154" i="6" s="1"/>
  <c r="Q162" i="6"/>
  <c r="R162" i="6" s="1"/>
  <c r="N162" i="6"/>
  <c r="O162" i="6" s="1"/>
  <c r="N165" i="6"/>
  <c r="O165" i="6" s="1"/>
  <c r="Q165" i="6"/>
  <c r="R165" i="6" s="1"/>
  <c r="Q150" i="6"/>
  <c r="R150" i="6" s="1"/>
  <c r="N150" i="6"/>
  <c r="O150" i="6" s="1"/>
  <c r="N153" i="6"/>
  <c r="O153" i="6" s="1"/>
  <c r="Q153" i="6"/>
  <c r="R153" i="6" s="1"/>
  <c r="Q160" i="6"/>
  <c r="R160" i="6" s="1"/>
  <c r="N160" i="6"/>
  <c r="O160" i="6" s="1"/>
  <c r="Q166" i="6"/>
  <c r="R166" i="6" s="1"/>
  <c r="N166" i="6"/>
  <c r="O166" i="6" s="1"/>
  <c r="Q158" i="6"/>
  <c r="R158" i="6" s="1"/>
  <c r="N158" i="6"/>
  <c r="O158" i="6" s="1"/>
  <c r="N159" i="6"/>
  <c r="O159" i="6" s="1"/>
  <c r="Q159" i="6"/>
  <c r="R159" i="6" s="1"/>
  <c r="L209" i="6"/>
  <c r="Q164" i="6"/>
  <c r="R164" i="6" s="1"/>
  <c r="N164" i="6"/>
  <c r="O164" i="6" s="1"/>
  <c r="Q152" i="6"/>
  <c r="R152" i="6" s="1"/>
  <c r="N152" i="6"/>
  <c r="O152" i="6" s="1"/>
  <c r="L301" i="6"/>
  <c r="Q268" i="6"/>
  <c r="R268" i="6" s="1"/>
  <c r="N268" i="6"/>
  <c r="O268" i="6" s="1"/>
  <c r="L304" i="6"/>
  <c r="Q271" i="6"/>
  <c r="R271" i="6" s="1"/>
  <c r="L307" i="6"/>
  <c r="Q274" i="6"/>
  <c r="R274" i="6" s="1"/>
  <c r="E67" i="6"/>
  <c r="I151" i="14"/>
  <c r="I173" i="14" s="1"/>
  <c r="Q11" i="6"/>
  <c r="R11" i="6" s="1"/>
  <c r="Q12" i="6"/>
  <c r="R12" i="6" s="1"/>
  <c r="Q14" i="6"/>
  <c r="R14" i="6" s="1"/>
  <c r="Q15" i="6"/>
  <c r="R15" i="6" s="1"/>
  <c r="Q18" i="6"/>
  <c r="R18" i="6" s="1"/>
  <c r="Q19" i="6"/>
  <c r="R19" i="6" s="1"/>
  <c r="Q20" i="6"/>
  <c r="R20" i="6" s="1"/>
  <c r="Q21" i="6"/>
  <c r="R21" i="6" s="1"/>
  <c r="Q22" i="6"/>
  <c r="R22" i="6" s="1"/>
  <c r="Q24" i="6"/>
  <c r="R24" i="6" s="1"/>
  <c r="Q25" i="6"/>
  <c r="R25" i="6" s="1"/>
  <c r="L58" i="6"/>
  <c r="Q13" i="6"/>
  <c r="R13" i="6" s="1"/>
  <c r="L61" i="6"/>
  <c r="Q61" i="6" s="1"/>
  <c r="R61" i="6" s="1"/>
  <c r="Q16" i="6"/>
  <c r="R16" i="6" s="1"/>
  <c r="L55" i="6"/>
  <c r="Q10" i="6"/>
  <c r="R10" i="6" s="1"/>
  <c r="L62" i="6"/>
  <c r="Q17" i="6"/>
  <c r="R17" i="6" s="1"/>
  <c r="L68" i="6"/>
  <c r="Q23" i="6"/>
  <c r="R23" i="6" s="1"/>
  <c r="L71" i="6"/>
  <c r="Q26" i="6"/>
  <c r="R26" i="6" s="1"/>
  <c r="I159" i="14"/>
  <c r="I181" i="14" s="1"/>
  <c r="E60" i="6"/>
  <c r="G327" i="11"/>
  <c r="F59" i="6"/>
  <c r="J60" i="6"/>
  <c r="H327" i="11"/>
  <c r="G60" i="6"/>
  <c r="E327" i="11"/>
  <c r="L59" i="6"/>
  <c r="F327" i="11"/>
  <c r="J57" i="6"/>
  <c r="G57" i="6"/>
  <c r="K57" i="6"/>
  <c r="T136" i="12"/>
  <c r="X57" i="7"/>
  <c r="H132" i="10" s="1"/>
  <c r="G330" i="11"/>
  <c r="G331" i="11"/>
  <c r="G332" i="11"/>
  <c r="F65" i="6"/>
  <c r="T133" i="12"/>
  <c r="H330" i="11"/>
  <c r="H331" i="11"/>
  <c r="D332" i="11"/>
  <c r="H332" i="11"/>
  <c r="L203" i="6"/>
  <c r="E330" i="11"/>
  <c r="E331" i="11"/>
  <c r="L310" i="6"/>
  <c r="E332" i="11"/>
  <c r="L65" i="6"/>
  <c r="I203" i="6"/>
  <c r="F331" i="11"/>
  <c r="F332" i="11"/>
  <c r="F65" i="12"/>
  <c r="X80" i="7"/>
  <c r="H157" i="10" s="1"/>
  <c r="X51" i="7"/>
  <c r="X47" i="7"/>
  <c r="H120" i="10" s="1"/>
  <c r="X41" i="7"/>
  <c r="H114" i="10" s="1"/>
  <c r="N114" i="10" s="1"/>
  <c r="X40" i="7"/>
  <c r="H113" i="10" s="1"/>
  <c r="X34" i="7"/>
  <c r="H107" i="10" s="1"/>
  <c r="X36" i="7"/>
  <c r="H109" i="10" s="1"/>
  <c r="X33" i="7"/>
  <c r="H106" i="10" s="1"/>
  <c r="Y42" i="7"/>
  <c r="I115" i="10" s="1"/>
  <c r="X44" i="7"/>
  <c r="H117" i="10" s="1"/>
  <c r="N117" i="10" s="1"/>
  <c r="X45" i="7"/>
  <c r="H118" i="10" s="1"/>
  <c r="N118" i="10" s="1"/>
  <c r="X46" i="7"/>
  <c r="H119" i="10" s="1"/>
  <c r="N119" i="10" s="1"/>
  <c r="X52" i="7"/>
  <c r="X49" i="7"/>
  <c r="H122" i="10" s="1"/>
  <c r="N122" i="10" s="1"/>
  <c r="X39" i="7"/>
  <c r="H112" i="10" s="1"/>
  <c r="X48" i="7"/>
  <c r="H121" i="10" s="1"/>
  <c r="N121" i="10" s="1"/>
  <c r="X42" i="7"/>
  <c r="H115" i="10" s="1"/>
  <c r="X43" i="7"/>
  <c r="H116" i="10" s="1"/>
  <c r="N116" i="10" s="1"/>
  <c r="X35" i="7"/>
  <c r="H108" i="10" s="1"/>
  <c r="N108" i="10" s="1"/>
  <c r="X37" i="7"/>
  <c r="H110" i="10" s="1"/>
  <c r="N110" i="10" s="1"/>
  <c r="X66" i="7"/>
  <c r="H141" i="10" s="1"/>
  <c r="J62" i="6"/>
  <c r="E63" i="6"/>
  <c r="F64" i="6"/>
  <c r="L64" i="6"/>
  <c r="J65" i="6"/>
  <c r="F67" i="6"/>
  <c r="L67" i="6"/>
  <c r="J68" i="6"/>
  <c r="H69" i="6"/>
  <c r="K69" i="6"/>
  <c r="F70" i="6"/>
  <c r="T124" i="12"/>
  <c r="F205" i="6"/>
  <c r="L205" i="6"/>
  <c r="E207" i="6"/>
  <c r="H207" i="6"/>
  <c r="I208" i="6"/>
  <c r="L208" i="6"/>
  <c r="H210" i="6"/>
  <c r="F211" i="6"/>
  <c r="I211" i="6"/>
  <c r="L211" i="6"/>
  <c r="N211" i="6" s="1"/>
  <c r="O211" i="6" s="1"/>
  <c r="E302" i="6"/>
  <c r="F303" i="6"/>
  <c r="I303" i="6"/>
  <c r="E305" i="6"/>
  <c r="F306" i="6"/>
  <c r="L306" i="6"/>
  <c r="E308" i="6"/>
  <c r="F309" i="6"/>
  <c r="L309" i="6"/>
  <c r="F296" i="6"/>
  <c r="N86" i="7"/>
  <c r="N52" i="7"/>
  <c r="N38" i="7" s="1"/>
  <c r="N51" i="7"/>
  <c r="N34" i="7"/>
  <c r="N35" i="7"/>
  <c r="N36" i="7"/>
  <c r="N37" i="7"/>
  <c r="N39" i="7"/>
  <c r="N40" i="7"/>
  <c r="N41" i="7"/>
  <c r="N42" i="7"/>
  <c r="N43" i="7"/>
  <c r="N44" i="7"/>
  <c r="N45" i="7"/>
  <c r="N46" i="7"/>
  <c r="N47" i="7"/>
  <c r="N48" i="7"/>
  <c r="N49" i="7"/>
  <c r="N33" i="7"/>
  <c r="O42" i="7"/>
  <c r="X22" i="7"/>
  <c r="H93" i="10" s="1"/>
  <c r="F57" i="6"/>
  <c r="L57" i="6"/>
  <c r="O83" i="10" s="1"/>
  <c r="G58" i="6"/>
  <c r="J58" i="6"/>
  <c r="E59" i="6"/>
  <c r="F60" i="6"/>
  <c r="L60" i="6"/>
  <c r="J61" i="6"/>
  <c r="E62" i="6"/>
  <c r="F63" i="6"/>
  <c r="L63" i="6"/>
  <c r="J64" i="6"/>
  <c r="L66" i="6"/>
  <c r="E68" i="6"/>
  <c r="F69" i="6"/>
  <c r="I69" i="6"/>
  <c r="L69" i="6"/>
  <c r="J70" i="6"/>
  <c r="E71" i="6"/>
  <c r="I204" i="6"/>
  <c r="L204" i="6"/>
  <c r="H206" i="6"/>
  <c r="I207" i="6"/>
  <c r="L207" i="6"/>
  <c r="L210" i="6"/>
  <c r="E301" i="6"/>
  <c r="F302" i="6"/>
  <c r="E304" i="6"/>
  <c r="F305" i="6"/>
  <c r="L305" i="6"/>
  <c r="L308" i="6"/>
  <c r="E310" i="6"/>
  <c r="L311" i="6"/>
  <c r="P12" i="7"/>
  <c r="P52" i="7"/>
  <c r="P38" i="7" s="1"/>
  <c r="P51" i="7"/>
  <c r="P34" i="7"/>
  <c r="P35" i="7"/>
  <c r="P36" i="7"/>
  <c r="P37" i="7"/>
  <c r="P39" i="7"/>
  <c r="P40" i="7"/>
  <c r="P41" i="7"/>
  <c r="P42" i="7"/>
  <c r="P43" i="7"/>
  <c r="P44" i="7"/>
  <c r="P45" i="7"/>
  <c r="P46" i="7"/>
  <c r="P47" i="7"/>
  <c r="P48" i="7"/>
  <c r="P49" i="7"/>
  <c r="P33" i="7"/>
  <c r="Q42" i="7"/>
  <c r="V51" i="7"/>
  <c r="V34" i="7"/>
  <c r="F107" i="10" s="1"/>
  <c r="M107" i="10" s="1"/>
  <c r="V36" i="7"/>
  <c r="F109" i="10" s="1"/>
  <c r="M109" i="10" s="1"/>
  <c r="V40" i="7"/>
  <c r="F113" i="10" s="1"/>
  <c r="M113" i="10" s="1"/>
  <c r="V41" i="7"/>
  <c r="F114" i="10" s="1"/>
  <c r="M114" i="10" s="1"/>
  <c r="V47" i="7"/>
  <c r="F120" i="10" s="1"/>
  <c r="M120" i="10" s="1"/>
  <c r="V33" i="7"/>
  <c r="F106" i="10" s="1"/>
  <c r="M106" i="10" s="1"/>
  <c r="W42" i="7"/>
  <c r="G115" i="10" s="1"/>
  <c r="V44" i="7"/>
  <c r="F117" i="10" s="1"/>
  <c r="M117" i="10" s="1"/>
  <c r="V45" i="7"/>
  <c r="F118" i="10" s="1"/>
  <c r="M118" i="10" s="1"/>
  <c r="V46" i="7"/>
  <c r="F119" i="10" s="1"/>
  <c r="M119" i="10" s="1"/>
  <c r="V52" i="7"/>
  <c r="V49" i="7"/>
  <c r="F122" i="10" s="1"/>
  <c r="M122" i="10" s="1"/>
  <c r="V39" i="7"/>
  <c r="F112" i="10" s="1"/>
  <c r="M112" i="10" s="1"/>
  <c r="V48" i="7"/>
  <c r="F121" i="10" s="1"/>
  <c r="M121" i="10" s="1"/>
  <c r="V42" i="7"/>
  <c r="F115" i="10" s="1"/>
  <c r="V43" i="7"/>
  <c r="F116" i="10" s="1"/>
  <c r="M116" i="10" s="1"/>
  <c r="V35" i="7"/>
  <c r="F108" i="10" s="1"/>
  <c r="M108" i="10" s="1"/>
  <c r="V37" i="7"/>
  <c r="F110" i="10" s="1"/>
  <c r="M110" i="10" s="1"/>
  <c r="I58" i="14"/>
  <c r="I80" i="14" s="1"/>
  <c r="I66" i="14"/>
  <c r="I88" i="14" s="1"/>
  <c r="O25" i="7"/>
  <c r="V102" i="7"/>
  <c r="F181" i="10" s="1"/>
  <c r="E296" i="6"/>
  <c r="I145" i="14"/>
  <c r="I167" i="14" s="1"/>
  <c r="I55" i="14"/>
  <c r="I77" i="14" s="1"/>
  <c r="I63" i="14"/>
  <c r="I85" i="14" s="1"/>
  <c r="I150" i="14"/>
  <c r="I172" i="14" s="1"/>
  <c r="I158" i="14"/>
  <c r="I180" i="14" s="1"/>
  <c r="I59" i="14"/>
  <c r="I81" i="14" s="1"/>
  <c r="I67" i="14"/>
  <c r="I89" i="14" s="1"/>
  <c r="I54" i="14"/>
  <c r="I76" i="14" s="1"/>
  <c r="I62" i="14"/>
  <c r="I84" i="14" s="1"/>
  <c r="I71" i="6"/>
  <c r="I205" i="6"/>
  <c r="N321" i="6"/>
  <c r="O321" i="6" s="1"/>
  <c r="N323" i="6"/>
  <c r="O323" i="6" s="1"/>
  <c r="N324" i="6"/>
  <c r="O324" i="6" s="1"/>
  <c r="N325" i="6"/>
  <c r="O325" i="6" s="1"/>
  <c r="N326" i="6"/>
  <c r="O326" i="6" s="1"/>
  <c r="N327" i="6"/>
  <c r="O327" i="6" s="1"/>
  <c r="N328" i="6"/>
  <c r="O328" i="6" s="1"/>
  <c r="N329" i="6"/>
  <c r="O329" i="6" s="1"/>
  <c r="N330" i="6"/>
  <c r="O330" i="6" s="1"/>
  <c r="N320" i="6"/>
  <c r="O320" i="6" s="1"/>
  <c r="AO128" i="12"/>
  <c r="F66" i="6"/>
  <c r="E208" i="6"/>
  <c r="E56" i="6"/>
  <c r="E66" i="6"/>
  <c r="G62" i="6"/>
  <c r="E55" i="6"/>
  <c r="G56" i="6"/>
  <c r="G65" i="6"/>
  <c r="G70" i="6"/>
  <c r="H205" i="6"/>
  <c r="H302" i="6"/>
  <c r="H56" i="6"/>
  <c r="H64" i="6"/>
  <c r="H203" i="6"/>
  <c r="H204" i="6"/>
  <c r="G205" i="6"/>
  <c r="I210" i="6"/>
  <c r="H71" i="6"/>
  <c r="F204" i="6"/>
  <c r="G207" i="6"/>
  <c r="F209" i="6"/>
  <c r="G61" i="6"/>
  <c r="H70" i="6"/>
  <c r="F203" i="6"/>
  <c r="E64" i="6"/>
  <c r="H209" i="6"/>
  <c r="G64" i="6"/>
  <c r="H60" i="6"/>
  <c r="G305" i="6"/>
  <c r="G69" i="6"/>
  <c r="F207" i="6"/>
  <c r="E203" i="6"/>
  <c r="F210" i="6"/>
  <c r="H63" i="14"/>
  <c r="H85" i="14" s="1"/>
  <c r="F145" i="14"/>
  <c r="F167" i="14" s="1"/>
  <c r="G148" i="14"/>
  <c r="G170" i="14" s="1"/>
  <c r="H151" i="14"/>
  <c r="H173" i="14" s="1"/>
  <c r="F153" i="14"/>
  <c r="F175" i="14" s="1"/>
  <c r="G156" i="14"/>
  <c r="G178" i="14" s="1"/>
  <c r="H159" i="14"/>
  <c r="H181" i="14" s="1"/>
  <c r="E21" i="12" s="1"/>
  <c r="G68" i="14"/>
  <c r="G90" i="14" s="1"/>
  <c r="G60" i="14"/>
  <c r="G82" i="14" s="1"/>
  <c r="F57" i="14"/>
  <c r="F79" i="14" s="1"/>
  <c r="F65" i="14"/>
  <c r="F87" i="14" s="1"/>
  <c r="F158" i="14"/>
  <c r="F180" i="14" s="1"/>
  <c r="I195" i="6"/>
  <c r="I196" i="6"/>
  <c r="I198" i="6"/>
  <c r="I199" i="6"/>
  <c r="I200" i="6"/>
  <c r="I201" i="6"/>
  <c r="H50" i="6"/>
  <c r="F54" i="14"/>
  <c r="F76" i="14" s="1"/>
  <c r="G57" i="14"/>
  <c r="G79" i="14" s="1"/>
  <c r="H60" i="14"/>
  <c r="H82" i="14" s="1"/>
  <c r="F62" i="14"/>
  <c r="F84" i="14" s="1"/>
  <c r="G65" i="14"/>
  <c r="G87" i="14" s="1"/>
  <c r="H68" i="14"/>
  <c r="H90" i="14" s="1"/>
  <c r="G56" i="14"/>
  <c r="G78" i="14" s="1"/>
  <c r="H59" i="14"/>
  <c r="H81" i="14" s="1"/>
  <c r="F61" i="14"/>
  <c r="F83" i="14" s="1"/>
  <c r="G64" i="14"/>
  <c r="G86" i="14" s="1"/>
  <c r="H67" i="14"/>
  <c r="H89" i="14" s="1"/>
  <c r="F69" i="14"/>
  <c r="F91" i="14" s="1"/>
  <c r="G304" i="6"/>
  <c r="F190" i="6"/>
  <c r="F168" i="6" s="1"/>
  <c r="H195" i="6"/>
  <c r="H196" i="6"/>
  <c r="H198" i="6"/>
  <c r="H199" i="6"/>
  <c r="H200" i="6"/>
  <c r="H201" i="6"/>
  <c r="G59" i="14"/>
  <c r="G81" i="14" s="1"/>
  <c r="F64" i="14"/>
  <c r="F86" i="14" s="1"/>
  <c r="G53" i="14"/>
  <c r="G75" i="14" s="1"/>
  <c r="H56" i="14"/>
  <c r="H78" i="14" s="1"/>
  <c r="F58" i="14"/>
  <c r="F80" i="14" s="1"/>
  <c r="G61" i="14"/>
  <c r="G83" i="14" s="1"/>
  <c r="H64" i="14"/>
  <c r="H86" i="14" s="1"/>
  <c r="F66" i="14"/>
  <c r="F88" i="14" s="1"/>
  <c r="G69" i="14"/>
  <c r="G91" i="14" s="1"/>
  <c r="H62" i="14"/>
  <c r="H84" i="14" s="1"/>
  <c r="E61" i="14"/>
  <c r="E83" i="14" s="1"/>
  <c r="E69" i="14"/>
  <c r="E91" i="14" s="1"/>
  <c r="Q10" i="7"/>
  <c r="S10" i="7" s="1"/>
  <c r="G10" i="7"/>
  <c r="D15" i="7"/>
  <c r="V72" i="7"/>
  <c r="F147" i="10" s="1"/>
  <c r="V65" i="7"/>
  <c r="F140" i="10" s="1"/>
  <c r="V103" i="7"/>
  <c r="F182" i="10" s="1"/>
  <c r="T128" i="12"/>
  <c r="T129" i="12"/>
  <c r="V19" i="7"/>
  <c r="F90" i="10" s="1"/>
  <c r="V74" i="7"/>
  <c r="V61" i="7" s="1"/>
  <c r="F136" i="10" s="1"/>
  <c r="V28" i="7"/>
  <c r="V15" i="7" s="1"/>
  <c r="F86" i="10" s="1"/>
  <c r="V13" i="7"/>
  <c r="F84" i="10" s="1"/>
  <c r="V17" i="7"/>
  <c r="F88" i="10" s="1"/>
  <c r="V20" i="7"/>
  <c r="F91" i="10" s="1"/>
  <c r="V63" i="7"/>
  <c r="F138" i="10" s="1"/>
  <c r="V64" i="7"/>
  <c r="F139" i="10" s="1"/>
  <c r="V23" i="7"/>
  <c r="F94" i="10" s="1"/>
  <c r="V18" i="7"/>
  <c r="F89" i="10" s="1"/>
  <c r="V12" i="7"/>
  <c r="F83" i="10" s="1"/>
  <c r="V10" i="7"/>
  <c r="F81" i="10" s="1"/>
  <c r="V29" i="7"/>
  <c r="W15" i="7" s="1"/>
  <c r="G86" i="10" s="1"/>
  <c r="V25" i="7"/>
  <c r="F96" i="10" s="1"/>
  <c r="V11" i="7"/>
  <c r="F82" i="10" s="1"/>
  <c r="V14" i="7"/>
  <c r="F85" i="10" s="1"/>
  <c r="V56" i="7"/>
  <c r="F131" i="10" s="1"/>
  <c r="G196" i="6"/>
  <c r="G197" i="6"/>
  <c r="G198" i="6"/>
  <c r="G200" i="6"/>
  <c r="G201" i="6"/>
  <c r="X11" i="7"/>
  <c r="H82" i="10" s="1"/>
  <c r="X60" i="7"/>
  <c r="H135" i="10" s="1"/>
  <c r="AA128" i="12"/>
  <c r="AA129" i="12"/>
  <c r="AA138" i="12"/>
  <c r="AE138" i="12" s="1"/>
  <c r="K22" i="13" s="1"/>
  <c r="AA123" i="12"/>
  <c r="AA130" i="12"/>
  <c r="AE130" i="12" s="1"/>
  <c r="K14" i="13" s="1"/>
  <c r="AA131" i="12"/>
  <c r="AA140" i="12"/>
  <c r="AA139" i="12"/>
  <c r="AA132" i="12"/>
  <c r="AA124" i="12"/>
  <c r="AA133" i="12"/>
  <c r="AA141" i="12"/>
  <c r="AA125" i="12"/>
  <c r="AA134" i="12"/>
  <c r="AA135" i="12"/>
  <c r="AA126" i="12"/>
  <c r="AA136" i="12"/>
  <c r="D88" i="15"/>
  <c r="E88" i="15" s="1"/>
  <c r="M88" i="15" s="1"/>
  <c r="D90" i="15"/>
  <c r="E90" i="15" s="1"/>
  <c r="M90" i="15" s="1"/>
  <c r="D79" i="15"/>
  <c r="E79" i="15" s="1"/>
  <c r="M79" i="15" s="1"/>
  <c r="D80" i="15"/>
  <c r="E80" i="15" s="1"/>
  <c r="M80" i="15" s="1"/>
  <c r="D82" i="15"/>
  <c r="E82" i="15" s="1"/>
  <c r="M82" i="15" s="1"/>
  <c r="D94" i="15"/>
  <c r="E94" i="15" s="1"/>
  <c r="M94" i="15" s="1"/>
  <c r="D85" i="15"/>
  <c r="E85" i="15" s="1"/>
  <c r="M85" i="15" s="1"/>
  <c r="D83" i="15"/>
  <c r="E83" i="15" s="1"/>
  <c r="M83" i="15" s="1"/>
  <c r="D95" i="15"/>
  <c r="E95" i="15" s="1"/>
  <c r="M95" i="15" s="1"/>
  <c r="D84" i="15"/>
  <c r="E84" i="15" s="1"/>
  <c r="M84" i="15" s="1"/>
  <c r="D89" i="15"/>
  <c r="E89" i="15" s="1"/>
  <c r="M89" i="15" s="1"/>
  <c r="D87" i="15"/>
  <c r="E87" i="15" s="1"/>
  <c r="M87" i="15" s="1"/>
  <c r="D93" i="15"/>
  <c r="E93" i="15" s="1"/>
  <c r="M93" i="15" s="1"/>
  <c r="D81" i="15"/>
  <c r="E81" i="15" s="1"/>
  <c r="M81" i="15" s="1"/>
  <c r="D86" i="15"/>
  <c r="E86" i="15" s="1"/>
  <c r="M86" i="15" s="1"/>
  <c r="D92" i="15"/>
  <c r="E92" i="15" s="1"/>
  <c r="M92" i="15" s="1"/>
  <c r="D91" i="15"/>
  <c r="E91" i="15" s="1"/>
  <c r="M91" i="15" s="1"/>
  <c r="D33" i="10"/>
  <c r="W81" i="7"/>
  <c r="G158" i="10" s="1"/>
  <c r="V97" i="7"/>
  <c r="V84" i="7" s="1"/>
  <c r="F161" i="10" s="1"/>
  <c r="H197" i="6"/>
  <c r="I197" i="6"/>
  <c r="W121" i="7"/>
  <c r="G205" i="10" s="1"/>
  <c r="V124" i="7"/>
  <c r="F208" i="10" s="1"/>
  <c r="L190" i="6"/>
  <c r="E204" i="6"/>
  <c r="E190" i="6"/>
  <c r="E168" i="6" s="1"/>
  <c r="E195" i="6"/>
  <c r="E196" i="6"/>
  <c r="E198" i="6"/>
  <c r="E199" i="6"/>
  <c r="E200" i="6"/>
  <c r="F196" i="6"/>
  <c r="F197" i="6"/>
  <c r="F198" i="6"/>
  <c r="F199" i="6"/>
  <c r="F200" i="6"/>
  <c r="F201" i="6"/>
  <c r="L195" i="6"/>
  <c r="L196" i="6"/>
  <c r="L197" i="6"/>
  <c r="L198" i="6"/>
  <c r="L199" i="6"/>
  <c r="L201" i="6"/>
  <c r="V58" i="7"/>
  <c r="F133" i="10" s="1"/>
  <c r="AO129" i="12"/>
  <c r="AO130" i="12"/>
  <c r="AS130" i="12" s="1"/>
  <c r="M14" i="13" s="1"/>
  <c r="AO140" i="12"/>
  <c r="AO132" i="12"/>
  <c r="AO124" i="12"/>
  <c r="AO133" i="12"/>
  <c r="H190" i="6"/>
  <c r="H168" i="6" s="1"/>
  <c r="H303" i="6"/>
  <c r="H296" i="6"/>
  <c r="K71" i="6"/>
  <c r="I49" i="14"/>
  <c r="I56" i="14"/>
  <c r="I78" i="14" s="1"/>
  <c r="I64" i="14"/>
  <c r="I86" i="14" s="1"/>
  <c r="I144" i="14"/>
  <c r="I166" i="14" s="1"/>
  <c r="I152" i="14"/>
  <c r="I174" i="14" s="1"/>
  <c r="I27" i="14"/>
  <c r="E145" i="14"/>
  <c r="E167" i="14" s="1"/>
  <c r="H146" i="14"/>
  <c r="H168" i="14" s="1"/>
  <c r="E8" i="12" s="1"/>
  <c r="F148" i="14"/>
  <c r="F170" i="14" s="1"/>
  <c r="I149" i="14"/>
  <c r="I171" i="14" s="1"/>
  <c r="G151" i="14"/>
  <c r="G173" i="14" s="1"/>
  <c r="E153" i="14"/>
  <c r="E175" i="14" s="1"/>
  <c r="H154" i="14"/>
  <c r="H176" i="14" s="1"/>
  <c r="E26" i="12" s="1"/>
  <c r="F156" i="14"/>
  <c r="F178" i="14" s="1"/>
  <c r="I157" i="14"/>
  <c r="I179" i="14" s="1"/>
  <c r="G159" i="14"/>
  <c r="G181" i="14" s="1"/>
  <c r="G144" i="14"/>
  <c r="G166" i="14" s="1"/>
  <c r="E146" i="14"/>
  <c r="E168" i="14" s="1"/>
  <c r="H147" i="14"/>
  <c r="H169" i="14" s="1"/>
  <c r="E15" i="12" s="1"/>
  <c r="F149" i="14"/>
  <c r="F171" i="14" s="1"/>
  <c r="G152" i="14"/>
  <c r="G174" i="14" s="1"/>
  <c r="E154" i="14"/>
  <c r="E176" i="14" s="1"/>
  <c r="H155" i="14"/>
  <c r="H177" i="14" s="1"/>
  <c r="E10" i="12" s="1"/>
  <c r="F157" i="14"/>
  <c r="F179" i="14" s="1"/>
  <c r="H145" i="14"/>
  <c r="H167" i="14" s="1"/>
  <c r="E23" i="12" s="1"/>
  <c r="F147" i="14"/>
  <c r="F169" i="14" s="1"/>
  <c r="G150" i="14"/>
  <c r="G172" i="14" s="1"/>
  <c r="H153" i="14"/>
  <c r="H175" i="14" s="1"/>
  <c r="E18" i="12" s="1"/>
  <c r="F155" i="14"/>
  <c r="F177" i="14" s="1"/>
  <c r="G158" i="14"/>
  <c r="G180" i="14" s="1"/>
  <c r="F144" i="14"/>
  <c r="F166" i="14" s="1"/>
  <c r="G147" i="14"/>
  <c r="G169" i="14" s="1"/>
  <c r="E149" i="14"/>
  <c r="E171" i="14" s="1"/>
  <c r="H150" i="14"/>
  <c r="H172" i="14" s="1"/>
  <c r="E24" i="12" s="1"/>
  <c r="F152" i="14"/>
  <c r="F174" i="14" s="1"/>
  <c r="G155" i="14"/>
  <c r="G177" i="14" s="1"/>
  <c r="E157" i="14"/>
  <c r="E179" i="14" s="1"/>
  <c r="H158" i="14"/>
  <c r="H180" i="14" s="1"/>
  <c r="E11" i="12" s="1"/>
  <c r="E150" i="14"/>
  <c r="E172" i="14" s="1"/>
  <c r="E158" i="14"/>
  <c r="E180" i="14" s="1"/>
  <c r="E144" i="14"/>
  <c r="E166" i="14" s="1"/>
  <c r="E152" i="14"/>
  <c r="E174" i="14" s="1"/>
  <c r="G139" i="14"/>
  <c r="H144" i="14"/>
  <c r="H166" i="14" s="1"/>
  <c r="E14" i="12" s="1"/>
  <c r="F146" i="14"/>
  <c r="F168" i="14" s="1"/>
  <c r="G149" i="14"/>
  <c r="G171" i="14" s="1"/>
  <c r="H152" i="14"/>
  <c r="H174" i="14" s="1"/>
  <c r="E9" i="12" s="1"/>
  <c r="H139" i="14"/>
  <c r="G146" i="14"/>
  <c r="G168" i="14" s="1"/>
  <c r="H149" i="14"/>
  <c r="H171" i="14" s="1"/>
  <c r="E25" i="12" s="1"/>
  <c r="F151" i="14"/>
  <c r="F173" i="14" s="1"/>
  <c r="G154" i="14"/>
  <c r="G176" i="14" s="1"/>
  <c r="H157" i="14"/>
  <c r="H179" i="14" s="1"/>
  <c r="E20" i="12" s="1"/>
  <c r="F159" i="14"/>
  <c r="F181" i="14" s="1"/>
  <c r="G145" i="14"/>
  <c r="G167" i="14" s="1"/>
  <c r="H148" i="14"/>
  <c r="H170" i="14" s="1"/>
  <c r="E16" i="12" s="1"/>
  <c r="F150" i="14"/>
  <c r="F172" i="14" s="1"/>
  <c r="G153" i="14"/>
  <c r="G175" i="14" s="1"/>
  <c r="H156" i="14"/>
  <c r="H178" i="14" s="1"/>
  <c r="E19" i="12" s="1"/>
  <c r="E143" i="14"/>
  <c r="E165" i="14" s="1"/>
  <c r="E159" i="14"/>
  <c r="E181" i="14" s="1"/>
  <c r="E156" i="14"/>
  <c r="E178" i="14" s="1"/>
  <c r="E148" i="14"/>
  <c r="E170" i="14" s="1"/>
  <c r="E147" i="14"/>
  <c r="E169" i="14" s="1"/>
  <c r="E155" i="14"/>
  <c r="E177" i="14" s="1"/>
  <c r="H55" i="14"/>
  <c r="H77" i="14" s="1"/>
  <c r="F63" i="14"/>
  <c r="F85" i="14" s="1"/>
  <c r="G66" i="14"/>
  <c r="G88" i="14" s="1"/>
  <c r="H69" i="14"/>
  <c r="H91" i="14" s="1"/>
  <c r="E58" i="14"/>
  <c r="E80" i="14" s="1"/>
  <c r="E66" i="14"/>
  <c r="E88" i="14" s="1"/>
  <c r="F55" i="14"/>
  <c r="F77" i="14" s="1"/>
  <c r="G58" i="14"/>
  <c r="G80" i="14" s="1"/>
  <c r="H61" i="14"/>
  <c r="H83" i="14" s="1"/>
  <c r="E54" i="14"/>
  <c r="E76" i="14" s="1"/>
  <c r="E62" i="14"/>
  <c r="E84" i="14" s="1"/>
  <c r="E55" i="14"/>
  <c r="E77" i="14" s="1"/>
  <c r="E63" i="14"/>
  <c r="E85" i="14" s="1"/>
  <c r="E68" i="14"/>
  <c r="E90" i="14" s="1"/>
  <c r="E60" i="14"/>
  <c r="E82" i="14" s="1"/>
  <c r="E59" i="14"/>
  <c r="E81" i="14" s="1"/>
  <c r="E67" i="14"/>
  <c r="E89" i="14" s="1"/>
  <c r="H117" i="14"/>
  <c r="G206" i="6"/>
  <c r="F195" i="6"/>
  <c r="L70" i="6"/>
  <c r="L50" i="6"/>
  <c r="J296" i="6"/>
  <c r="G68" i="6"/>
  <c r="G204" i="6"/>
  <c r="G209" i="6"/>
  <c r="G208" i="6"/>
  <c r="I296" i="6"/>
  <c r="I50" i="6"/>
  <c r="I209" i="6"/>
  <c r="I70" i="6"/>
  <c r="F50" i="6"/>
  <c r="G302" i="6"/>
  <c r="F68" i="6"/>
  <c r="G210" i="6"/>
  <c r="I190" i="6"/>
  <c r="I168" i="6" s="1"/>
  <c r="N23" i="6"/>
  <c r="O23" i="6" s="1"/>
  <c r="F100" i="12"/>
  <c r="F112" i="12"/>
  <c r="F96" i="12"/>
  <c r="F94" i="12"/>
  <c r="F101" i="12"/>
  <c r="J101" i="12" s="1"/>
  <c r="G14" i="13" s="1"/>
  <c r="F97" i="12"/>
  <c r="F95" i="12"/>
  <c r="F109" i="12"/>
  <c r="J109" i="12" s="1"/>
  <c r="G22" i="13" s="1"/>
  <c r="F105" i="12"/>
  <c r="F102" i="12"/>
  <c r="F104" i="12"/>
  <c r="F99" i="12"/>
  <c r="F110" i="12"/>
  <c r="F106" i="12"/>
  <c r="F111" i="12"/>
  <c r="F103" i="12"/>
  <c r="F107" i="12"/>
  <c r="AH136" i="12"/>
  <c r="AH126" i="12"/>
  <c r="AH135" i="12"/>
  <c r="AH125" i="12"/>
  <c r="AH141" i="12"/>
  <c r="AH134" i="12"/>
  <c r="AO136" i="12"/>
  <c r="AQ136" i="12" s="1"/>
  <c r="AO126" i="12"/>
  <c r="AQ126" i="12" s="1"/>
  <c r="AO135" i="12"/>
  <c r="AQ135" i="12" s="1"/>
  <c r="AO125" i="12"/>
  <c r="AQ125" i="12" s="1"/>
  <c r="AO141" i="12"/>
  <c r="AQ141" i="12" s="1"/>
  <c r="AO134" i="12"/>
  <c r="AQ134" i="12" s="1"/>
  <c r="Q11" i="7"/>
  <c r="S11" i="7" s="1"/>
  <c r="Y11" i="7"/>
  <c r="I82" i="10" s="1"/>
  <c r="W11" i="7"/>
  <c r="G82" i="10" s="1"/>
  <c r="O11" i="7"/>
  <c r="I11" i="7"/>
  <c r="K11" i="7" s="1"/>
  <c r="G11" i="7"/>
  <c r="W12" i="7"/>
  <c r="Y12" i="7"/>
  <c r="I83" i="10" s="1"/>
  <c r="O12" i="7"/>
  <c r="W13" i="7"/>
  <c r="Y13" i="7"/>
  <c r="I84" i="10" s="1"/>
  <c r="Q13" i="7"/>
  <c r="O13" i="7"/>
  <c r="O14" i="7"/>
  <c r="O16" i="7"/>
  <c r="I16" i="7"/>
  <c r="K16" i="7" s="1"/>
  <c r="I17" i="7"/>
  <c r="K17" i="7" s="1"/>
  <c r="W17" i="7"/>
  <c r="Q17" i="7"/>
  <c r="S17" i="7" s="1"/>
  <c r="G17" i="7"/>
  <c r="O18" i="7"/>
  <c r="Y18" i="7"/>
  <c r="I89" i="10" s="1"/>
  <c r="W18" i="7"/>
  <c r="Q18" i="7"/>
  <c r="S18" i="7" s="1"/>
  <c r="G18" i="7"/>
  <c r="Y19" i="7"/>
  <c r="I90" i="10" s="1"/>
  <c r="W19" i="7"/>
  <c r="Q19" i="7"/>
  <c r="S19" i="7" s="1"/>
  <c r="I19" i="7"/>
  <c r="K19" i="7" s="1"/>
  <c r="G19" i="7"/>
  <c r="W21" i="7"/>
  <c r="Y21" i="7"/>
  <c r="I92" i="10" s="1"/>
  <c r="Q21" i="7"/>
  <c r="S21" i="7" s="1"/>
  <c r="O21" i="7"/>
  <c r="I21" i="7"/>
  <c r="K21" i="7" s="1"/>
  <c r="G21" i="7"/>
  <c r="Y22" i="7"/>
  <c r="I93" i="10" s="1"/>
  <c r="W22" i="7"/>
  <c r="Q22" i="7"/>
  <c r="S22" i="7" s="1"/>
  <c r="I22" i="7"/>
  <c r="K22" i="7" s="1"/>
  <c r="G22" i="7"/>
  <c r="W23" i="7"/>
  <c r="Q23" i="7"/>
  <c r="S23" i="7" s="1"/>
  <c r="I23" i="7"/>
  <c r="K23" i="7" s="1"/>
  <c r="I24" i="7"/>
  <c r="K24" i="7" s="1"/>
  <c r="W24" i="7"/>
  <c r="Q24" i="7"/>
  <c r="S24" i="7" s="1"/>
  <c r="G24" i="7"/>
  <c r="Y28" i="7"/>
  <c r="O28" i="7"/>
  <c r="I28" i="7"/>
  <c r="K28" i="7" s="1"/>
  <c r="W29" i="7"/>
  <c r="O29" i="7"/>
  <c r="W56" i="7"/>
  <c r="G131" i="10" s="1"/>
  <c r="Y56" i="7"/>
  <c r="I131" i="10" s="1"/>
  <c r="Q56" i="7"/>
  <c r="S56" i="7" s="1"/>
  <c r="O56" i="7"/>
  <c r="I56" i="7"/>
  <c r="K56" i="7" s="1"/>
  <c r="G56" i="7"/>
  <c r="Y57" i="7"/>
  <c r="I132" i="10" s="1"/>
  <c r="W57" i="7"/>
  <c r="G132" i="10" s="1"/>
  <c r="Q57" i="7"/>
  <c r="S57" i="7" s="1"/>
  <c r="I57" i="7"/>
  <c r="K57" i="7" s="1"/>
  <c r="G57" i="7"/>
  <c r="W59" i="7"/>
  <c r="G134" i="10" s="1"/>
  <c r="Y59" i="7"/>
  <c r="I134" i="10" s="1"/>
  <c r="Q59" i="7"/>
  <c r="S59" i="7" s="1"/>
  <c r="I59" i="7"/>
  <c r="K59" i="7" s="1"/>
  <c r="I62" i="7"/>
  <c r="K62" i="7" s="1"/>
  <c r="Y62" i="7"/>
  <c r="I137" i="10" s="1"/>
  <c r="W62" i="7"/>
  <c r="G137" i="10" s="1"/>
  <c r="O62" i="7"/>
  <c r="G62" i="7"/>
  <c r="W64" i="7"/>
  <c r="G139" i="10" s="1"/>
  <c r="Y64" i="7"/>
  <c r="I139" i="10" s="1"/>
  <c r="Q64" i="7"/>
  <c r="S64" i="7" s="1"/>
  <c r="O64" i="7"/>
  <c r="I64" i="7"/>
  <c r="K64" i="7" s="1"/>
  <c r="G64" i="7"/>
  <c r="O65" i="7"/>
  <c r="Y65" i="7"/>
  <c r="I140" i="10" s="1"/>
  <c r="W66" i="7"/>
  <c r="G141" i="10" s="1"/>
  <c r="I66" i="7"/>
  <c r="K66" i="7" s="1"/>
  <c r="Y67" i="7"/>
  <c r="I142" i="10" s="1"/>
  <c r="W67" i="7"/>
  <c r="G142" i="10" s="1"/>
  <c r="Q67" i="7"/>
  <c r="S67" i="7" s="1"/>
  <c r="I67" i="7"/>
  <c r="K67" i="7" s="1"/>
  <c r="G67" i="7"/>
  <c r="I68" i="7"/>
  <c r="K68" i="7" s="1"/>
  <c r="W68" i="7"/>
  <c r="G143" i="10" s="1"/>
  <c r="Q68" i="7"/>
  <c r="S68" i="7" s="1"/>
  <c r="G68" i="7"/>
  <c r="W70" i="7"/>
  <c r="G145" i="10" s="1"/>
  <c r="Y70" i="7"/>
  <c r="I145" i="10" s="1"/>
  <c r="I70" i="7"/>
  <c r="K70" i="7" s="1"/>
  <c r="W72" i="7"/>
  <c r="G147" i="10" s="1"/>
  <c r="Y72" i="7"/>
  <c r="I147" i="10" s="1"/>
  <c r="Q72" i="7"/>
  <c r="S72" i="7" s="1"/>
  <c r="O72" i="7"/>
  <c r="I72" i="7"/>
  <c r="K72" i="7" s="1"/>
  <c r="G72" i="7"/>
  <c r="I74" i="7"/>
  <c r="K74" i="7" s="1"/>
  <c r="Y74" i="7"/>
  <c r="Y79" i="7"/>
  <c r="I156" i="10" s="1"/>
  <c r="O79" i="7"/>
  <c r="Y80" i="7"/>
  <c r="I157" i="10" s="1"/>
  <c r="O80" i="7"/>
  <c r="O85" i="7"/>
  <c r="W85" i="7"/>
  <c r="G162" i="10" s="1"/>
  <c r="I85" i="7"/>
  <c r="K85" i="7" s="1"/>
  <c r="W86" i="7"/>
  <c r="G163" i="10" s="1"/>
  <c r="Q86" i="7"/>
  <c r="S86" i="7" s="1"/>
  <c r="O86" i="7"/>
  <c r="Q87" i="7"/>
  <c r="S87" i="7" s="1"/>
  <c r="Y87" i="7"/>
  <c r="I164" i="10" s="1"/>
  <c r="W87" i="7"/>
  <c r="G164" i="10" s="1"/>
  <c r="G87" i="7"/>
  <c r="Y88" i="7"/>
  <c r="I165" i="10" s="1"/>
  <c r="W88" i="7"/>
  <c r="G165" i="10" s="1"/>
  <c r="Q88" i="7"/>
  <c r="S88" i="7" s="1"/>
  <c r="G88" i="7"/>
  <c r="Y89" i="7"/>
  <c r="I166" i="10" s="1"/>
  <c r="W89" i="7"/>
  <c r="G166" i="10" s="1"/>
  <c r="I89" i="7"/>
  <c r="K89" i="7" s="1"/>
  <c r="G89" i="7"/>
  <c r="W90" i="7"/>
  <c r="G167" i="10" s="1"/>
  <c r="Y90" i="7"/>
  <c r="I167" i="10" s="1"/>
  <c r="Q90" i="7"/>
  <c r="S90" i="7" s="1"/>
  <c r="O90" i="7"/>
  <c r="I90" i="7"/>
  <c r="K90" i="7" s="1"/>
  <c r="G90" i="7"/>
  <c r="W91" i="7"/>
  <c r="G168" i="10" s="1"/>
  <c r="Y91" i="7"/>
  <c r="I168" i="10" s="1"/>
  <c r="O91" i="7"/>
  <c r="I91" i="7"/>
  <c r="K91" i="7" s="1"/>
  <c r="G91" i="7"/>
  <c r="W92" i="7"/>
  <c r="G169" i="10" s="1"/>
  <c r="Y92" i="7"/>
  <c r="I169" i="10" s="1"/>
  <c r="Q92" i="7"/>
  <c r="S92" i="7" s="1"/>
  <c r="O92" i="7"/>
  <c r="I92" i="7"/>
  <c r="K92" i="7" s="1"/>
  <c r="G92" i="7"/>
  <c r="W93" i="7"/>
  <c r="G170" i="10" s="1"/>
  <c r="Y93" i="7"/>
  <c r="I170" i="10" s="1"/>
  <c r="Q93" i="7"/>
  <c r="S93" i="7" s="1"/>
  <c r="O93" i="7"/>
  <c r="I93" i="7"/>
  <c r="K93" i="7" s="1"/>
  <c r="G93" i="7"/>
  <c r="Y97" i="7"/>
  <c r="Q97" i="7"/>
  <c r="S97" i="7" s="1"/>
  <c r="G97" i="7"/>
  <c r="Y102" i="7"/>
  <c r="I181" i="10" s="1"/>
  <c r="Q102" i="7"/>
  <c r="S102" i="7" s="1"/>
  <c r="I102" i="7"/>
  <c r="K102" i="7" s="1"/>
  <c r="G102" i="7"/>
  <c r="Y103" i="7"/>
  <c r="I182" i="10" s="1"/>
  <c r="O103" i="7"/>
  <c r="G103" i="7"/>
  <c r="Q104" i="7"/>
  <c r="S104" i="7" s="1"/>
  <c r="G104" i="7"/>
  <c r="W105" i="7"/>
  <c r="G184" i="10" s="1"/>
  <c r="Y105" i="7"/>
  <c r="I184" i="10" s="1"/>
  <c r="Q105" i="7"/>
  <c r="O105" i="7"/>
  <c r="Y106" i="7"/>
  <c r="I185" i="10" s="1"/>
  <c r="Q106" i="7"/>
  <c r="S106" i="7" s="1"/>
  <c r="W107" i="7"/>
  <c r="G186" i="10" s="1"/>
  <c r="Q107" i="7"/>
  <c r="S107" i="7" s="1"/>
  <c r="I107" i="7"/>
  <c r="K107" i="7" s="1"/>
  <c r="Y108" i="7"/>
  <c r="I187" i="10" s="1"/>
  <c r="W108" i="7"/>
  <c r="G187" i="10" s="1"/>
  <c r="Q108" i="7"/>
  <c r="S108" i="7" s="1"/>
  <c r="I108" i="7"/>
  <c r="K108" i="7" s="1"/>
  <c r="G108" i="7"/>
  <c r="Y111" i="7"/>
  <c r="I190" i="10" s="1"/>
  <c r="Q111" i="7"/>
  <c r="S111" i="7" s="1"/>
  <c r="I111" i="7"/>
  <c r="K111" i="7" s="1"/>
  <c r="G111" i="7"/>
  <c r="Q112" i="7"/>
  <c r="S112" i="7" s="1"/>
  <c r="W112" i="7"/>
  <c r="G191" i="10" s="1"/>
  <c r="I112" i="7"/>
  <c r="K112" i="7" s="1"/>
  <c r="G112" i="7"/>
  <c r="W116" i="7"/>
  <c r="G200" i="10" s="1"/>
  <c r="Y116" i="7"/>
  <c r="I200" i="10" s="1"/>
  <c r="Q116" i="7"/>
  <c r="S116" i="7" s="1"/>
  <c r="O116" i="7"/>
  <c r="I116" i="7"/>
  <c r="K116" i="7" s="1"/>
  <c r="G116" i="7"/>
  <c r="Y117" i="7"/>
  <c r="I201" i="10" s="1"/>
  <c r="Q117" i="7"/>
  <c r="S117" i="7" s="1"/>
  <c r="I117" i="7"/>
  <c r="K117" i="7" s="1"/>
  <c r="G117" i="7"/>
  <c r="Y125" i="7"/>
  <c r="I209" i="10" s="1"/>
  <c r="Q125" i="7"/>
  <c r="S125" i="7" s="1"/>
  <c r="G54" i="14"/>
  <c r="G76" i="14" s="1"/>
  <c r="E56" i="14"/>
  <c r="E78" i="14" s="1"/>
  <c r="H57" i="14"/>
  <c r="H79" i="14" s="1"/>
  <c r="F59" i="14"/>
  <c r="F81" i="14" s="1"/>
  <c r="I60" i="14"/>
  <c r="I82" i="14" s="1"/>
  <c r="G62" i="14"/>
  <c r="G84" i="14" s="1"/>
  <c r="E64" i="14"/>
  <c r="E86" i="14" s="1"/>
  <c r="H65" i="14"/>
  <c r="H87" i="14" s="1"/>
  <c r="I65" i="14"/>
  <c r="I87" i="14" s="1"/>
  <c r="G67" i="14"/>
  <c r="G89" i="14" s="1"/>
  <c r="I147" i="14"/>
  <c r="I169" i="14" s="1"/>
  <c r="E151" i="14"/>
  <c r="E173" i="14" s="1"/>
  <c r="F154" i="14"/>
  <c r="F176" i="14" s="1"/>
  <c r="G157" i="14"/>
  <c r="G179" i="14" s="1"/>
  <c r="G296" i="6"/>
  <c r="J28" i="6"/>
  <c r="G28" i="6"/>
  <c r="F261" i="6"/>
  <c r="F238" i="6" s="1"/>
  <c r="D31" i="10"/>
  <c r="D32" i="10"/>
  <c r="D34" i="10"/>
  <c r="E34" i="10" s="1"/>
  <c r="L34" i="10" s="1"/>
  <c r="M35" i="10"/>
  <c r="F72" i="12"/>
  <c r="J72" i="12" s="1"/>
  <c r="F14" i="13" s="1"/>
  <c r="M36" i="10"/>
  <c r="F73" i="12"/>
  <c r="M37" i="10"/>
  <c r="F82" i="12"/>
  <c r="M38" i="10"/>
  <c r="F81" i="12"/>
  <c r="M39" i="10"/>
  <c r="F74" i="12"/>
  <c r="M40" i="10"/>
  <c r="F66" i="12"/>
  <c r="M41" i="10"/>
  <c r="F75" i="12"/>
  <c r="M42" i="10"/>
  <c r="F83" i="12"/>
  <c r="M43" i="10"/>
  <c r="F67" i="12"/>
  <c r="M44" i="10"/>
  <c r="F76" i="12"/>
  <c r="M45" i="10"/>
  <c r="F77" i="12"/>
  <c r="M46" i="10"/>
  <c r="F68" i="12"/>
  <c r="M47" i="10"/>
  <c r="F78" i="12"/>
  <c r="J200" i="6"/>
  <c r="J201" i="6"/>
  <c r="J202" i="6"/>
  <c r="J205" i="6"/>
  <c r="J209" i="6"/>
  <c r="O135" i="10"/>
  <c r="T130" i="12"/>
  <c r="X130" i="12" s="1"/>
  <c r="J14" i="13" s="1"/>
  <c r="K201" i="6"/>
  <c r="T140" i="12"/>
  <c r="K202" i="6"/>
  <c r="Q202" i="6" s="1"/>
  <c r="R202" i="6" s="1"/>
  <c r="T139" i="12"/>
  <c r="K203" i="6"/>
  <c r="T132" i="12"/>
  <c r="K190" i="6"/>
  <c r="K168" i="6" s="1"/>
  <c r="O203" i="10"/>
  <c r="AO123" i="12"/>
  <c r="O205" i="10"/>
  <c r="AO131" i="12"/>
  <c r="O207" i="10"/>
  <c r="AO139" i="12"/>
  <c r="M31" i="10"/>
  <c r="F70" i="12"/>
  <c r="M32" i="10"/>
  <c r="F71" i="12"/>
  <c r="M33" i="10"/>
  <c r="F80" i="12"/>
  <c r="J80" i="12" s="1"/>
  <c r="F22" i="13" s="1"/>
  <c r="J210" i="6"/>
  <c r="K198" i="6"/>
  <c r="T123" i="12"/>
  <c r="O146" i="10"/>
  <c r="T126" i="12"/>
  <c r="J196" i="6"/>
  <c r="K197" i="6"/>
  <c r="T138" i="12"/>
  <c r="X138" i="12" s="1"/>
  <c r="J22" i="13" s="1"/>
  <c r="O142" i="10"/>
  <c r="T141" i="12"/>
  <c r="K208" i="6"/>
  <c r="T134" i="12"/>
  <c r="K209" i="6"/>
  <c r="T135" i="12"/>
  <c r="J198" i="6"/>
  <c r="J197" i="6"/>
  <c r="K207" i="6"/>
  <c r="T125" i="12"/>
  <c r="N11" i="7"/>
  <c r="N17" i="7"/>
  <c r="P14" i="7"/>
  <c r="N10" i="7"/>
  <c r="D35" i="10"/>
  <c r="D36" i="10"/>
  <c r="D37" i="10"/>
  <c r="D38" i="10"/>
  <c r="D39" i="10"/>
  <c r="D40" i="10"/>
  <c r="D41" i="10"/>
  <c r="D42" i="10"/>
  <c r="D43" i="10"/>
  <c r="D44" i="10"/>
  <c r="D45" i="10"/>
  <c r="D46" i="10"/>
  <c r="D47" i="10"/>
  <c r="P11" i="7"/>
  <c r="X92" i="7"/>
  <c r="H169" i="10" s="1"/>
  <c r="P98" i="7"/>
  <c r="Q84" i="7" s="1"/>
  <c r="N28" i="7"/>
  <c r="N15" i="7" s="1"/>
  <c r="N79" i="7"/>
  <c r="N111" i="7"/>
  <c r="P20" i="7"/>
  <c r="P25" i="7"/>
  <c r="O60" i="7"/>
  <c r="N63" i="7"/>
  <c r="N65" i="7"/>
  <c r="V111" i="7"/>
  <c r="F190" i="10" s="1"/>
  <c r="N22" i="7"/>
  <c r="N26" i="7"/>
  <c r="O58" i="7"/>
  <c r="P13" i="7"/>
  <c r="P19" i="7"/>
  <c r="P24" i="7"/>
  <c r="P26" i="7"/>
  <c r="N62" i="7"/>
  <c r="P71" i="7"/>
  <c r="N74" i="7"/>
  <c r="N61" i="7" s="1"/>
  <c r="D61" i="10"/>
  <c r="E61" i="10" s="1"/>
  <c r="L61" i="10" s="1"/>
  <c r="D60" i="10"/>
  <c r="E60" i="10" s="1"/>
  <c r="L60" i="10" s="1"/>
  <c r="D57" i="10"/>
  <c r="E57" i="10" s="1"/>
  <c r="L57" i="10" s="1"/>
  <c r="D69" i="10"/>
  <c r="E69" i="10" s="1"/>
  <c r="L69" i="10" s="1"/>
  <c r="D58" i="10"/>
  <c r="E58" i="10" s="1"/>
  <c r="L58" i="10" s="1"/>
  <c r="D72" i="10"/>
  <c r="E72" i="10" s="1"/>
  <c r="L72" i="10" s="1"/>
  <c r="D56" i="10"/>
  <c r="E56" i="10" s="1"/>
  <c r="L56" i="10" s="1"/>
  <c r="D67" i="10"/>
  <c r="E67" i="10" s="1"/>
  <c r="L67" i="10" s="1"/>
  <c r="D70" i="10"/>
  <c r="E70" i="10" s="1"/>
  <c r="L70" i="10" s="1"/>
  <c r="D71" i="10"/>
  <c r="E71" i="10" s="1"/>
  <c r="L71" i="10" s="1"/>
  <c r="D66" i="10"/>
  <c r="E66" i="10" s="1"/>
  <c r="L66" i="10" s="1"/>
  <c r="D68" i="10"/>
  <c r="E68" i="10" s="1"/>
  <c r="L68" i="10" s="1"/>
  <c r="D63" i="10"/>
  <c r="E63" i="10" s="1"/>
  <c r="L63" i="10" s="1"/>
  <c r="D64" i="10"/>
  <c r="E64" i="10" s="1"/>
  <c r="L64" i="10" s="1"/>
  <c r="D65" i="10"/>
  <c r="E65" i="10" s="1"/>
  <c r="L65" i="10" s="1"/>
  <c r="D62" i="10"/>
  <c r="E62" i="10" s="1"/>
  <c r="L62" i="10" s="1"/>
  <c r="D59" i="10"/>
  <c r="E59" i="10" s="1"/>
  <c r="L59" i="10" s="1"/>
  <c r="D78" i="15"/>
  <c r="L55" i="10"/>
  <c r="D55" i="10"/>
  <c r="L30" i="10"/>
  <c r="D30" i="10"/>
  <c r="N16" i="7"/>
  <c r="P29" i="7"/>
  <c r="Q15" i="7" s="1"/>
  <c r="N88" i="7"/>
  <c r="J50" i="6"/>
  <c r="L296" i="6"/>
  <c r="E50" i="6"/>
  <c r="L28" i="6"/>
  <c r="N272" i="6"/>
  <c r="O272" i="6" s="1"/>
  <c r="J190" i="6"/>
  <c r="J168" i="6" s="1"/>
  <c r="H306" i="6"/>
  <c r="I58" i="6"/>
  <c r="I66" i="6"/>
  <c r="K50" i="6"/>
  <c r="K65" i="6"/>
  <c r="K305" i="6"/>
  <c r="K310" i="6"/>
  <c r="K311" i="6"/>
  <c r="N13" i="6"/>
  <c r="O13" i="6" s="1"/>
  <c r="N16" i="6"/>
  <c r="O16" i="6" s="1"/>
  <c r="N20" i="6"/>
  <c r="O20" i="6" s="1"/>
  <c r="N273" i="6"/>
  <c r="O273" i="6" s="1"/>
  <c r="I307" i="6"/>
  <c r="N12" i="6"/>
  <c r="O12" i="6" s="1"/>
  <c r="I62" i="6"/>
  <c r="H68" i="6"/>
  <c r="J305" i="6"/>
  <c r="J311" i="6"/>
  <c r="K296" i="6"/>
  <c r="L369" i="6"/>
  <c r="F206" i="6"/>
  <c r="F208" i="6"/>
  <c r="F311" i="6"/>
  <c r="E309" i="6"/>
  <c r="E311" i="6"/>
  <c r="I304" i="6"/>
  <c r="I308" i="6"/>
  <c r="N25" i="6"/>
  <c r="O25" i="6" s="1"/>
  <c r="H55" i="6"/>
  <c r="H28" i="6"/>
  <c r="H57" i="6"/>
  <c r="H58" i="6"/>
  <c r="H59" i="6"/>
  <c r="H61" i="6"/>
  <c r="H62" i="6"/>
  <c r="H63" i="6"/>
  <c r="H65" i="6"/>
  <c r="H66" i="6"/>
  <c r="H67" i="6"/>
  <c r="G55" i="6"/>
  <c r="G59" i="6"/>
  <c r="G63" i="6"/>
  <c r="G67" i="6"/>
  <c r="G71" i="6"/>
  <c r="G195" i="6"/>
  <c r="G199" i="6"/>
  <c r="G203" i="6"/>
  <c r="G211" i="6"/>
  <c r="K206" i="6"/>
  <c r="J303" i="6"/>
  <c r="G308" i="6"/>
  <c r="N277" i="6"/>
  <c r="O277" i="6" s="1"/>
  <c r="H261" i="6"/>
  <c r="H238" i="6" s="1"/>
  <c r="I55" i="6"/>
  <c r="I28" i="6"/>
  <c r="I57" i="6"/>
  <c r="I59" i="6"/>
  <c r="I60" i="6"/>
  <c r="I61" i="6"/>
  <c r="I63" i="6"/>
  <c r="I64" i="6"/>
  <c r="I65" i="6"/>
  <c r="I67" i="6"/>
  <c r="I68" i="6"/>
  <c r="L261" i="6"/>
  <c r="N269" i="6"/>
  <c r="O269" i="6" s="1"/>
  <c r="G301" i="6"/>
  <c r="J309" i="6"/>
  <c r="L347" i="6"/>
  <c r="L302" i="6"/>
  <c r="L303" i="6"/>
  <c r="I301" i="6"/>
  <c r="K55" i="6"/>
  <c r="K56" i="6"/>
  <c r="K58" i="6"/>
  <c r="K59" i="6"/>
  <c r="K60" i="6"/>
  <c r="K62" i="6"/>
  <c r="K63" i="6"/>
  <c r="K64" i="6"/>
  <c r="K66" i="6"/>
  <c r="K67" i="6"/>
  <c r="K68" i="6"/>
  <c r="J59" i="6"/>
  <c r="J63" i="6"/>
  <c r="J67" i="6"/>
  <c r="J71" i="6"/>
  <c r="J199" i="6"/>
  <c r="J203" i="6"/>
  <c r="J204" i="6"/>
  <c r="J206" i="6"/>
  <c r="J208" i="6"/>
  <c r="N271" i="6"/>
  <c r="O271" i="6" s="1"/>
  <c r="N24" i="6"/>
  <c r="O24" i="6" s="1"/>
  <c r="L280" i="6"/>
  <c r="K307" i="6"/>
  <c r="J55" i="6"/>
  <c r="O164" i="10"/>
  <c r="O169" i="10"/>
  <c r="I369" i="6"/>
  <c r="N17" i="6"/>
  <c r="O17" i="6" s="1"/>
  <c r="N21" i="6"/>
  <c r="O21" i="6" s="1"/>
  <c r="G50" i="6"/>
  <c r="O131" i="10"/>
  <c r="O147" i="10"/>
  <c r="J369" i="6"/>
  <c r="E205" i="6"/>
  <c r="E206" i="6"/>
  <c r="O163" i="10"/>
  <c r="E329" i="11"/>
  <c r="H308" i="6"/>
  <c r="K306" i="6"/>
  <c r="K369" i="6"/>
  <c r="N10" i="6"/>
  <c r="O10" i="6" s="1"/>
  <c r="N14" i="6"/>
  <c r="O14" i="6" s="1"/>
  <c r="N18" i="6"/>
  <c r="O18" i="6" s="1"/>
  <c r="N22" i="6"/>
  <c r="O22" i="6" s="1"/>
  <c r="N26" i="6"/>
  <c r="O26" i="6" s="1"/>
  <c r="K28" i="6"/>
  <c r="E57" i="6"/>
  <c r="E61" i="6"/>
  <c r="E65" i="6"/>
  <c r="E69" i="6"/>
  <c r="O132" i="10"/>
  <c r="O140" i="10"/>
  <c r="O144" i="10"/>
  <c r="E197" i="6"/>
  <c r="E201" i="6"/>
  <c r="K210" i="6"/>
  <c r="K211" i="6"/>
  <c r="O159" i="10"/>
  <c r="O168" i="10"/>
  <c r="E261" i="6"/>
  <c r="D323" i="11"/>
  <c r="G280" i="6"/>
  <c r="G328" i="11"/>
  <c r="J307" i="6"/>
  <c r="F330" i="11"/>
  <c r="I309" i="6"/>
  <c r="J195" i="6"/>
  <c r="E369" i="6"/>
  <c r="E28" i="6"/>
  <c r="I56" i="6"/>
  <c r="E58" i="6"/>
  <c r="E70" i="6"/>
  <c r="O133" i="10"/>
  <c r="O137" i="10"/>
  <c r="O141" i="10"/>
  <c r="O145" i="10"/>
  <c r="K195" i="6"/>
  <c r="K199" i="6"/>
  <c r="E202" i="6"/>
  <c r="N202" i="6" s="1"/>
  <c r="O202" i="6" s="1"/>
  <c r="E209" i="6"/>
  <c r="E210" i="6"/>
  <c r="O160" i="10"/>
  <c r="O165" i="10"/>
  <c r="G261" i="6"/>
  <c r="G238" i="6" s="1"/>
  <c r="E324" i="11"/>
  <c r="H280" i="6"/>
  <c r="O270" i="6"/>
  <c r="N270" i="6"/>
  <c r="G303" i="6"/>
  <c r="O201" i="10"/>
  <c r="O200" i="10"/>
  <c r="N11" i="6"/>
  <c r="O11" i="6" s="1"/>
  <c r="N15" i="6"/>
  <c r="O15" i="6" s="1"/>
  <c r="N19" i="6"/>
  <c r="O19" i="6" s="1"/>
  <c r="F369" i="6"/>
  <c r="F28" i="6"/>
  <c r="K204" i="6"/>
  <c r="O156" i="10"/>
  <c r="O161" i="10"/>
  <c r="O170" i="10"/>
  <c r="G323" i="11"/>
  <c r="J280" i="6"/>
  <c r="J301" i="6"/>
  <c r="F324" i="11"/>
  <c r="I302" i="6"/>
  <c r="E325" i="11"/>
  <c r="H304" i="6"/>
  <c r="D326" i="11"/>
  <c r="E307" i="6"/>
  <c r="O206" i="10"/>
  <c r="G369" i="6"/>
  <c r="O134" i="10"/>
  <c r="O138" i="10"/>
  <c r="K196" i="6"/>
  <c r="K200" i="6"/>
  <c r="K205" i="6"/>
  <c r="O157" i="10"/>
  <c r="O166" i="10"/>
  <c r="I261" i="6"/>
  <c r="I238" i="6" s="1"/>
  <c r="H323" i="11"/>
  <c r="K280" i="6"/>
  <c r="K301" i="6"/>
  <c r="D327" i="11"/>
  <c r="G306" i="6"/>
  <c r="H369" i="6"/>
  <c r="L56" i="6"/>
  <c r="J207" i="6"/>
  <c r="J211" i="6"/>
  <c r="O162" i="10"/>
  <c r="O171" i="10"/>
  <c r="H324" i="11"/>
  <c r="K302" i="6"/>
  <c r="F326" i="11"/>
  <c r="I305" i="6"/>
  <c r="D199" i="10"/>
  <c r="D180" i="10"/>
  <c r="D155" i="10"/>
  <c r="D80" i="10"/>
  <c r="D130" i="10"/>
  <c r="D6" i="15"/>
  <c r="F4" i="7"/>
  <c r="G14" i="7" s="1"/>
  <c r="L4" i="7"/>
  <c r="J4" i="7"/>
  <c r="H4" i="7"/>
  <c r="I25" i="7" s="1"/>
  <c r="E63" i="12"/>
  <c r="O139" i="10"/>
  <c r="O143" i="10"/>
  <c r="G190" i="6"/>
  <c r="G168" i="6" s="1"/>
  <c r="O158" i="10"/>
  <c r="O167" i="10"/>
  <c r="K261" i="6"/>
  <c r="E280" i="6"/>
  <c r="K303" i="6"/>
  <c r="D330" i="11"/>
  <c r="G309" i="6"/>
  <c r="N276" i="6"/>
  <c r="O276" i="6" s="1"/>
  <c r="D331" i="11"/>
  <c r="G310" i="6"/>
  <c r="G324" i="11"/>
  <c r="J302" i="6"/>
  <c r="D325" i="11"/>
  <c r="F310" i="6"/>
  <c r="N278" i="6"/>
  <c r="O278" i="6" s="1"/>
  <c r="I306" i="6"/>
  <c r="K308" i="6"/>
  <c r="K309" i="6"/>
  <c r="O172" i="10"/>
  <c r="F280" i="6"/>
  <c r="N274" i="6"/>
  <c r="O274" i="6" s="1"/>
  <c r="K304" i="6"/>
  <c r="F347" i="6"/>
  <c r="O208" i="10"/>
  <c r="Y60" i="7"/>
  <c r="I135" i="10" s="1"/>
  <c r="O209" i="10"/>
  <c r="G326" i="11"/>
  <c r="N275" i="6"/>
  <c r="O275" i="6" s="1"/>
  <c r="G311" i="6"/>
  <c r="O204" i="10"/>
  <c r="J261" i="6"/>
  <c r="J238" i="6" s="1"/>
  <c r="D324" i="11"/>
  <c r="H326" i="11"/>
  <c r="F308" i="6"/>
  <c r="I280" i="6"/>
  <c r="H310" i="6"/>
  <c r="I311" i="6"/>
  <c r="O210" i="10"/>
  <c r="Q63" i="7"/>
  <c r="S63" i="7" s="1"/>
  <c r="I63" i="7"/>
  <c r="K63" i="7" s="1"/>
  <c r="Y63" i="7"/>
  <c r="I138" i="10" s="1"/>
  <c r="W63" i="7"/>
  <c r="G138" i="10" s="1"/>
  <c r="G63" i="7"/>
  <c r="O63" i="7"/>
  <c r="D329" i="11"/>
  <c r="G307" i="6"/>
  <c r="I310" i="6"/>
  <c r="W110" i="7"/>
  <c r="G189" i="10" s="1"/>
  <c r="I10" i="7"/>
  <c r="K10" i="7" s="1"/>
  <c r="W10" i="7"/>
  <c r="G81" i="10" s="1"/>
  <c r="Q16" i="7"/>
  <c r="S16" i="7" s="1"/>
  <c r="G16" i="7"/>
  <c r="W16" i="7"/>
  <c r="Y16" i="7"/>
  <c r="I87" i="10" s="1"/>
  <c r="X21" i="7"/>
  <c r="H92" i="10" s="1"/>
  <c r="O26" i="7"/>
  <c r="Q26" i="7"/>
  <c r="S26" i="7" s="1"/>
  <c r="G26" i="7"/>
  <c r="W26" i="7"/>
  <c r="Q28" i="7"/>
  <c r="S28" i="7" s="1"/>
  <c r="G28" i="7"/>
  <c r="W28" i="7"/>
  <c r="Q29" i="7"/>
  <c r="S29" i="7" s="1"/>
  <c r="G29" i="7"/>
  <c r="I29" i="7"/>
  <c r="K29" i="7" s="1"/>
  <c r="Y29" i="7"/>
  <c r="X56" i="7"/>
  <c r="H131" i="10" s="1"/>
  <c r="Y121" i="7"/>
  <c r="I205" i="10" s="1"/>
  <c r="E326" i="11"/>
  <c r="H301" i="6"/>
  <c r="J304" i="6"/>
  <c r="H305" i="6"/>
  <c r="J308" i="6"/>
  <c r="H309" i="6"/>
  <c r="P126" i="7"/>
  <c r="P118" i="7"/>
  <c r="P107" i="7"/>
  <c r="P116" i="7"/>
  <c r="P103" i="7"/>
  <c r="P93" i="7"/>
  <c r="P85" i="7"/>
  <c r="Q82" i="7"/>
  <c r="P111" i="7"/>
  <c r="P95" i="7"/>
  <c r="Q122" i="7"/>
  <c r="P110" i="7"/>
  <c r="P109" i="7"/>
  <c r="P92" i="7"/>
  <c r="Q124" i="7"/>
  <c r="P121" i="7"/>
  <c r="P120" i="7"/>
  <c r="P106" i="7"/>
  <c r="P94" i="7"/>
  <c r="P86" i="7"/>
  <c r="P75" i="7"/>
  <c r="P66" i="7"/>
  <c r="P58" i="7"/>
  <c r="P23" i="7"/>
  <c r="P125" i="7"/>
  <c r="Q121" i="7"/>
  <c r="P104" i="7"/>
  <c r="P83" i="7"/>
  <c r="P117" i="7"/>
  <c r="P102" i="7"/>
  <c r="P67" i="7"/>
  <c r="P56" i="7"/>
  <c r="P80" i="7"/>
  <c r="P65" i="7"/>
  <c r="P112" i="7"/>
  <c r="P122" i="7"/>
  <c r="P108" i="7"/>
  <c r="P59" i="7"/>
  <c r="P74" i="7"/>
  <c r="P70" i="7"/>
  <c r="P18" i="7"/>
  <c r="P17" i="7"/>
  <c r="P79" i="7"/>
  <c r="P68" i="7"/>
  <c r="P62" i="7"/>
  <c r="P28" i="7"/>
  <c r="P16" i="7"/>
  <c r="P90" i="7"/>
  <c r="P81" i="7"/>
  <c r="P63" i="7"/>
  <c r="P57" i="7"/>
  <c r="P22" i="7"/>
  <c r="P10" i="7"/>
  <c r="P124" i="7"/>
  <c r="P119" i="7"/>
  <c r="P105" i="7"/>
  <c r="P97" i="7"/>
  <c r="P89" i="7"/>
  <c r="P88" i="7"/>
  <c r="P87" i="7"/>
  <c r="P72" i="7"/>
  <c r="P69" i="7"/>
  <c r="P21" i="7"/>
  <c r="X12" i="7"/>
  <c r="H83" i="10" s="1"/>
  <c r="X17" i="7"/>
  <c r="H88" i="10" s="1"/>
  <c r="I26" i="7"/>
  <c r="K26" i="7" s="1"/>
  <c r="Q71" i="7"/>
  <c r="S71" i="7" s="1"/>
  <c r="W71" i="7"/>
  <c r="G146" i="10" s="1"/>
  <c r="I71" i="7"/>
  <c r="K71" i="7" s="1"/>
  <c r="G71" i="7"/>
  <c r="O71" i="7"/>
  <c r="X104" i="7"/>
  <c r="H183" i="10" s="1"/>
  <c r="W126" i="7"/>
  <c r="G210" i="10" s="1"/>
  <c r="P64" i="7"/>
  <c r="P82" i="7"/>
  <c r="P91" i="7"/>
  <c r="I94" i="7"/>
  <c r="K94" i="7" s="1"/>
  <c r="Y94" i="7"/>
  <c r="I171" i="10" s="1"/>
  <c r="G94" i="7"/>
  <c r="Q94" i="7"/>
  <c r="S94" i="7" s="1"/>
  <c r="W94" i="7"/>
  <c r="G171" i="10" s="1"/>
  <c r="O94" i="7"/>
  <c r="W120" i="7"/>
  <c r="G204" i="10" s="1"/>
  <c r="Q120" i="7"/>
  <c r="Y120" i="7"/>
  <c r="I204" i="10" s="1"/>
  <c r="O120" i="7"/>
  <c r="P123" i="7"/>
  <c r="J306" i="6"/>
  <c r="H307" i="6"/>
  <c r="J310" i="6"/>
  <c r="H311" i="6"/>
  <c r="X124" i="7"/>
  <c r="H208" i="10" s="1"/>
  <c r="X121" i="7"/>
  <c r="H205" i="10" s="1"/>
  <c r="X110" i="7"/>
  <c r="H189" i="10" s="1"/>
  <c r="X102" i="7"/>
  <c r="H181" i="10" s="1"/>
  <c r="Y124" i="7"/>
  <c r="I208" i="10" s="1"/>
  <c r="X119" i="7"/>
  <c r="H203" i="10" s="1"/>
  <c r="X118" i="7"/>
  <c r="H202" i="10" s="1"/>
  <c r="X105" i="7"/>
  <c r="H184" i="10" s="1"/>
  <c r="X97" i="7"/>
  <c r="X84" i="7" s="1"/>
  <c r="H161" i="10" s="1"/>
  <c r="X88" i="7"/>
  <c r="H165" i="10" s="1"/>
  <c r="X125" i="7"/>
  <c r="H209" i="10" s="1"/>
  <c r="X116" i="7"/>
  <c r="H200" i="10" s="1"/>
  <c r="X103" i="7"/>
  <c r="H182" i="10" s="1"/>
  <c r="X126" i="7"/>
  <c r="H210" i="10" s="1"/>
  <c r="X112" i="7"/>
  <c r="H191" i="10" s="1"/>
  <c r="X95" i="7"/>
  <c r="H172" i="10" s="1"/>
  <c r="X87" i="7"/>
  <c r="H164" i="10" s="1"/>
  <c r="X109" i="7"/>
  <c r="H188" i="10" s="1"/>
  <c r="X98" i="7"/>
  <c r="Y84" i="7" s="1"/>
  <c r="I161" i="10" s="1"/>
  <c r="X89" i="7"/>
  <c r="H166" i="10" s="1"/>
  <c r="X81" i="7"/>
  <c r="H158" i="10" s="1"/>
  <c r="X69" i="7"/>
  <c r="H144" i="10" s="1"/>
  <c r="X26" i="7"/>
  <c r="H97" i="10" s="1"/>
  <c r="X18" i="7"/>
  <c r="H89" i="10" s="1"/>
  <c r="X117" i="7"/>
  <c r="H201" i="10" s="1"/>
  <c r="X106" i="7"/>
  <c r="H185" i="10" s="1"/>
  <c r="X90" i="7"/>
  <c r="H167" i="10" s="1"/>
  <c r="X108" i="7"/>
  <c r="H187" i="10" s="1"/>
  <c r="X93" i="7"/>
  <c r="H170" i="10" s="1"/>
  <c r="X86" i="7"/>
  <c r="H163" i="10" s="1"/>
  <c r="Y82" i="7"/>
  <c r="I159" i="10" s="1"/>
  <c r="X91" i="7"/>
  <c r="H168" i="10" s="1"/>
  <c r="X70" i="7"/>
  <c r="H145" i="10" s="1"/>
  <c r="X59" i="7"/>
  <c r="H134" i="10" s="1"/>
  <c r="X58" i="7"/>
  <c r="H133" i="10" s="1"/>
  <c r="X122" i="7"/>
  <c r="H206" i="10" s="1"/>
  <c r="X107" i="7"/>
  <c r="H186" i="10" s="1"/>
  <c r="Y83" i="7"/>
  <c r="I160" i="10" s="1"/>
  <c r="X68" i="7"/>
  <c r="H143" i="10" s="1"/>
  <c r="X71" i="7"/>
  <c r="H146" i="10" s="1"/>
  <c r="X123" i="7"/>
  <c r="H207" i="10" s="1"/>
  <c r="X120" i="7"/>
  <c r="H204" i="10" s="1"/>
  <c r="X83" i="7"/>
  <c r="H160" i="10" s="1"/>
  <c r="X75" i="7"/>
  <c r="Y61" i="7" s="1"/>
  <c r="I136" i="10" s="1"/>
  <c r="X63" i="7"/>
  <c r="H138" i="10" s="1"/>
  <c r="X20" i="7"/>
  <c r="H91" i="10" s="1"/>
  <c r="X85" i="7"/>
  <c r="H162" i="10" s="1"/>
  <c r="X82" i="7"/>
  <c r="H159" i="10" s="1"/>
  <c r="Y81" i="7"/>
  <c r="I158" i="10" s="1"/>
  <c r="X72" i="7"/>
  <c r="H147" i="10" s="1"/>
  <c r="X67" i="7"/>
  <c r="H142" i="10" s="1"/>
  <c r="X64" i="7"/>
  <c r="H139" i="10" s="1"/>
  <c r="X19" i="7"/>
  <c r="H90" i="10" s="1"/>
  <c r="X74" i="7"/>
  <c r="X61" i="7" s="1"/>
  <c r="H136" i="10" s="1"/>
  <c r="X65" i="7"/>
  <c r="H140" i="10" s="1"/>
  <c r="X28" i="7"/>
  <c r="X15" i="7" s="1"/>
  <c r="H86" i="10" s="1"/>
  <c r="X25" i="7"/>
  <c r="H96" i="10" s="1"/>
  <c r="X14" i="7"/>
  <c r="H85" i="10" s="1"/>
  <c r="X62" i="7"/>
  <c r="H137" i="10" s="1"/>
  <c r="X29" i="7"/>
  <c r="Y15" i="7" s="1"/>
  <c r="I86" i="10" s="1"/>
  <c r="X24" i="7"/>
  <c r="H95" i="10" s="1"/>
  <c r="X23" i="7"/>
  <c r="H94" i="10" s="1"/>
  <c r="X13" i="7"/>
  <c r="H84" i="10" s="1"/>
  <c r="X10" i="7"/>
  <c r="H81" i="10" s="1"/>
  <c r="P60" i="7"/>
  <c r="Y71" i="7"/>
  <c r="I146" i="10" s="1"/>
  <c r="Y110" i="7"/>
  <c r="I189" i="10" s="1"/>
  <c r="X111" i="7"/>
  <c r="H190" i="10" s="1"/>
  <c r="Y10" i="7"/>
  <c r="I81" i="10" s="1"/>
  <c r="O10" i="7"/>
  <c r="Q20" i="7"/>
  <c r="S20" i="7" s="1"/>
  <c r="W20" i="7"/>
  <c r="I20" i="7"/>
  <c r="K20" i="7" s="1"/>
  <c r="G20" i="7"/>
  <c r="Y20" i="7"/>
  <c r="I91" i="10" s="1"/>
  <c r="O69" i="7"/>
  <c r="Y69" i="7"/>
  <c r="I144" i="10" s="1"/>
  <c r="W69" i="7"/>
  <c r="G144" i="10" s="1"/>
  <c r="I69" i="7"/>
  <c r="K69" i="7" s="1"/>
  <c r="Q69" i="7"/>
  <c r="S69" i="7" s="1"/>
  <c r="Y75" i="7"/>
  <c r="G75" i="7"/>
  <c r="I75" i="7"/>
  <c r="K75" i="7" s="1"/>
  <c r="W75" i="7"/>
  <c r="O75" i="7"/>
  <c r="X79" i="7"/>
  <c r="H156" i="10" s="1"/>
  <c r="X94" i="7"/>
  <c r="H171" i="10" s="1"/>
  <c r="Q14" i="7"/>
  <c r="W14" i="7"/>
  <c r="Y14" i="7"/>
  <c r="I85" i="10" s="1"/>
  <c r="Q25" i="7"/>
  <c r="W25" i="7"/>
  <c r="Y25" i="7"/>
  <c r="I96" i="10" s="1"/>
  <c r="G69" i="7"/>
  <c r="Q12" i="7"/>
  <c r="N13" i="7"/>
  <c r="I18" i="7"/>
  <c r="K18" i="7" s="1"/>
  <c r="O22" i="7"/>
  <c r="N23" i="7"/>
  <c r="N24" i="7"/>
  <c r="V26" i="7"/>
  <c r="F97" i="10" s="1"/>
  <c r="N57" i="7"/>
  <c r="Y58" i="7"/>
  <c r="I133" i="10" s="1"/>
  <c r="Q58" i="7"/>
  <c r="G59" i="7"/>
  <c r="I65" i="7"/>
  <c r="K65" i="7" s="1"/>
  <c r="W65" i="7"/>
  <c r="G140" i="10" s="1"/>
  <c r="V68" i="7"/>
  <c r="F143" i="10" s="1"/>
  <c r="G70" i="7"/>
  <c r="N71" i="7"/>
  <c r="G74" i="7"/>
  <c r="W74" i="7"/>
  <c r="N75" i="7"/>
  <c r="O61" i="7" s="1"/>
  <c r="I79" i="7"/>
  <c r="K79" i="7" s="1"/>
  <c r="V80" i="7"/>
  <c r="F157" i="10" s="1"/>
  <c r="N81" i="7"/>
  <c r="I95" i="7"/>
  <c r="K95" i="7" s="1"/>
  <c r="Y95" i="7"/>
  <c r="I172" i="10" s="1"/>
  <c r="G95" i="7"/>
  <c r="O95" i="7"/>
  <c r="Q95" i="7"/>
  <c r="S95" i="7" s="1"/>
  <c r="W103" i="7"/>
  <c r="G182" i="10" s="1"/>
  <c r="I103" i="7"/>
  <c r="K103" i="7" s="1"/>
  <c r="Q103" i="7"/>
  <c r="S103" i="7" s="1"/>
  <c r="W122" i="7"/>
  <c r="G206" i="10" s="1"/>
  <c r="O124" i="7"/>
  <c r="N124" i="7"/>
  <c r="N116" i="7"/>
  <c r="N105" i="7"/>
  <c r="N119" i="7"/>
  <c r="N118" i="7"/>
  <c r="N91" i="7"/>
  <c r="N83" i="7"/>
  <c r="N126" i="7"/>
  <c r="N103" i="7"/>
  <c r="N93" i="7"/>
  <c r="N112" i="7"/>
  <c r="N102" i="7"/>
  <c r="N90" i="7"/>
  <c r="N82" i="7"/>
  <c r="N109" i="7"/>
  <c r="N92" i="7"/>
  <c r="N72" i="7"/>
  <c r="N64" i="7"/>
  <c r="N56" i="7"/>
  <c r="N21" i="7"/>
  <c r="O126" i="7"/>
  <c r="N123" i="7"/>
  <c r="N122" i="7"/>
  <c r="N107" i="7"/>
  <c r="N97" i="7"/>
  <c r="N84" i="7" s="1"/>
  <c r="N125" i="7"/>
  <c r="N121" i="7"/>
  <c r="N104" i="7"/>
  <c r="N95" i="7"/>
  <c r="N120" i="7"/>
  <c r="N110" i="7"/>
  <c r="N94" i="7"/>
  <c r="N89" i="7"/>
  <c r="N87" i="7"/>
  <c r="N85" i="7"/>
  <c r="N70" i="7"/>
  <c r="N69" i="7"/>
  <c r="N59" i="7"/>
  <c r="N58" i="7"/>
  <c r="N117" i="7"/>
  <c r="N106" i="7"/>
  <c r="N68" i="7"/>
  <c r="N14" i="7"/>
  <c r="Y23" i="7"/>
  <c r="I94" i="10" s="1"/>
  <c r="G23" i="7"/>
  <c r="O23" i="7"/>
  <c r="O24" i="7"/>
  <c r="Y24" i="7"/>
  <c r="I95" i="10" s="1"/>
  <c r="N25" i="7"/>
  <c r="N29" i="7"/>
  <c r="O15" i="7" s="1"/>
  <c r="N60" i="7"/>
  <c r="D61" i="7"/>
  <c r="N66" i="7"/>
  <c r="V70" i="7"/>
  <c r="F145" i="10" s="1"/>
  <c r="I80" i="7"/>
  <c r="K80" i="7" s="1"/>
  <c r="Q80" i="7"/>
  <c r="S80" i="7" s="1"/>
  <c r="G80" i="7"/>
  <c r="W80" i="7"/>
  <c r="G157" i="10" s="1"/>
  <c r="O82" i="7"/>
  <c r="O83" i="7"/>
  <c r="V89" i="7"/>
  <c r="F166" i="10" s="1"/>
  <c r="Y118" i="7"/>
  <c r="I202" i="10" s="1"/>
  <c r="W118" i="7"/>
  <c r="G202" i="10" s="1"/>
  <c r="O118" i="7"/>
  <c r="O17" i="7"/>
  <c r="Y17" i="7"/>
  <c r="I88" i="10" s="1"/>
  <c r="N18" i="7"/>
  <c r="N19" i="7"/>
  <c r="W60" i="7"/>
  <c r="G135" i="10" s="1"/>
  <c r="Q60" i="7"/>
  <c r="O70" i="7"/>
  <c r="O74" i="7"/>
  <c r="V83" i="7"/>
  <c r="F160" i="10" s="1"/>
  <c r="Y85" i="7"/>
  <c r="I162" i="10" s="1"/>
  <c r="G85" i="7"/>
  <c r="Q85" i="7"/>
  <c r="S85" i="7" s="1"/>
  <c r="I98" i="7"/>
  <c r="K98" i="7" s="1"/>
  <c r="Q98" i="7"/>
  <c r="S98" i="7" s="1"/>
  <c r="O98" i="7"/>
  <c r="Y98" i="7"/>
  <c r="G98" i="7"/>
  <c r="W106" i="7"/>
  <c r="G185" i="10" s="1"/>
  <c r="I106" i="7"/>
  <c r="K106" i="7" s="1"/>
  <c r="O106" i="7"/>
  <c r="Q118" i="7"/>
  <c r="V123" i="7"/>
  <c r="F207" i="10" s="1"/>
  <c r="V119" i="7"/>
  <c r="F203" i="10" s="1"/>
  <c r="V108" i="7"/>
  <c r="F187" i="10" s="1"/>
  <c r="V122" i="7"/>
  <c r="F206" i="10" s="1"/>
  <c r="V121" i="7"/>
  <c r="F205" i="10" s="1"/>
  <c r="V107" i="7"/>
  <c r="F186" i="10" s="1"/>
  <c r="V94" i="7"/>
  <c r="F171" i="10" s="1"/>
  <c r="V86" i="7"/>
  <c r="F163" i="10" s="1"/>
  <c r="V118" i="7"/>
  <c r="F202" i="10" s="1"/>
  <c r="V117" i="7"/>
  <c r="F201" i="10" s="1"/>
  <c r="V116" i="7"/>
  <c r="F200" i="10" s="1"/>
  <c r="V104" i="7"/>
  <c r="F183" i="10" s="1"/>
  <c r="V93" i="7"/>
  <c r="F170" i="10" s="1"/>
  <c r="V85" i="7"/>
  <c r="F162" i="10" s="1"/>
  <c r="V126" i="7"/>
  <c r="F210" i="10" s="1"/>
  <c r="V112" i="7"/>
  <c r="F191" i="10" s="1"/>
  <c r="V95" i="7"/>
  <c r="F172" i="10" s="1"/>
  <c r="V87" i="7"/>
  <c r="F164" i="10" s="1"/>
  <c r="V79" i="7"/>
  <c r="F156" i="10" s="1"/>
  <c r="V67" i="7"/>
  <c r="F142" i="10" s="1"/>
  <c r="V59" i="7"/>
  <c r="F134" i="10" s="1"/>
  <c r="V24" i="7"/>
  <c r="F95" i="10" s="1"/>
  <c r="V16" i="7"/>
  <c r="F87" i="10" s="1"/>
  <c r="V120" i="7"/>
  <c r="F204" i="10" s="1"/>
  <c r="V110" i="7"/>
  <c r="F189" i="10" s="1"/>
  <c r="V106" i="7"/>
  <c r="F185" i="10" s="1"/>
  <c r="V105" i="7"/>
  <c r="F184" i="10" s="1"/>
  <c r="V90" i="7"/>
  <c r="F167" i="10" s="1"/>
  <c r="V81" i="7"/>
  <c r="F158" i="10" s="1"/>
  <c r="V75" i="7"/>
  <c r="W61" i="7" s="1"/>
  <c r="G136" i="10" s="1"/>
  <c r="V98" i="7"/>
  <c r="W84" i="7" s="1"/>
  <c r="G161" i="10" s="1"/>
  <c r="V88" i="7"/>
  <c r="F165" i="10" s="1"/>
  <c r="V82" i="7"/>
  <c r="F159" i="10" s="1"/>
  <c r="V62" i="7"/>
  <c r="F137" i="10" s="1"/>
  <c r="V91" i="7"/>
  <c r="F168" i="10" s="1"/>
  <c r="V71" i="7"/>
  <c r="F146" i="10" s="1"/>
  <c r="V60" i="7"/>
  <c r="F135" i="10" s="1"/>
  <c r="N12" i="7"/>
  <c r="O19" i="7"/>
  <c r="N20" i="7"/>
  <c r="V21" i="7"/>
  <c r="F92" i="10" s="1"/>
  <c r="V22" i="7"/>
  <c r="F93" i="10" s="1"/>
  <c r="V57" i="7"/>
  <c r="F132" i="10" s="1"/>
  <c r="W58" i="7"/>
  <c r="G133" i="10" s="1"/>
  <c r="O59" i="7"/>
  <c r="Q62" i="7"/>
  <c r="S62" i="7" s="1"/>
  <c r="V66" i="7"/>
  <c r="F141" i="10" s="1"/>
  <c r="V69" i="7"/>
  <c r="F144" i="10" s="1"/>
  <c r="N80" i="7"/>
  <c r="W82" i="7"/>
  <c r="G159" i="10" s="1"/>
  <c r="W83" i="7"/>
  <c r="G160" i="10" s="1"/>
  <c r="G106" i="7"/>
  <c r="N108" i="7"/>
  <c r="I119" i="7"/>
  <c r="K119" i="7" s="1"/>
  <c r="Q119" i="7"/>
  <c r="S119" i="7" s="1"/>
  <c r="G119" i="7"/>
  <c r="W119" i="7"/>
  <c r="G203" i="10" s="1"/>
  <c r="O119" i="7"/>
  <c r="Q65" i="7"/>
  <c r="S65" i="7" s="1"/>
  <c r="G65" i="7"/>
  <c r="N67" i="7"/>
  <c r="Q70" i="7"/>
  <c r="S70" i="7" s="1"/>
  <c r="Q74" i="7"/>
  <c r="S74" i="7" s="1"/>
  <c r="Q79" i="7"/>
  <c r="S79" i="7" s="1"/>
  <c r="G79" i="7"/>
  <c r="W79" i="7"/>
  <c r="G156" i="10" s="1"/>
  <c r="V92" i="7"/>
  <c r="F169" i="10" s="1"/>
  <c r="N98" i="7"/>
  <c r="O84" i="7" s="1"/>
  <c r="V109" i="7"/>
  <c r="F188" i="10" s="1"/>
  <c r="V125" i="7"/>
  <c r="F209" i="10" s="1"/>
  <c r="Y66" i="7"/>
  <c r="I141" i="10" s="1"/>
  <c r="G66" i="7"/>
  <c r="O66" i="7"/>
  <c r="O67" i="7"/>
  <c r="Q81" i="7"/>
  <c r="O81" i="7"/>
  <c r="I86" i="7"/>
  <c r="K86" i="7" s="1"/>
  <c r="Y86" i="7"/>
  <c r="I163" i="10" s="1"/>
  <c r="G86" i="7"/>
  <c r="O88" i="7"/>
  <c r="I88" i="7"/>
  <c r="K88" i="7" s="1"/>
  <c r="O97" i="7"/>
  <c r="I97" i="7"/>
  <c r="K97" i="7" s="1"/>
  <c r="D84" i="7"/>
  <c r="W97" i="7"/>
  <c r="O109" i="7"/>
  <c r="Y122" i="7"/>
  <c r="I206" i="10" s="1"/>
  <c r="O125" i="7"/>
  <c r="W125" i="7"/>
  <c r="G209" i="10" s="1"/>
  <c r="I125" i="7"/>
  <c r="K125" i="7" s="1"/>
  <c r="G125" i="7"/>
  <c r="O57" i="7"/>
  <c r="Q66" i="7"/>
  <c r="S66" i="7" s="1"/>
  <c r="O68" i="7"/>
  <c r="Y68" i="7"/>
  <c r="I143" i="10" s="1"/>
  <c r="I123" i="7"/>
  <c r="K123" i="7" s="1"/>
  <c r="Q123" i="7"/>
  <c r="S123" i="7" s="1"/>
  <c r="W123" i="7"/>
  <c r="G207" i="10" s="1"/>
  <c r="G123" i="7"/>
  <c r="O123" i="7"/>
  <c r="F53" i="14"/>
  <c r="F75" i="14" s="1"/>
  <c r="F27" i="14"/>
  <c r="H27" i="14"/>
  <c r="H53" i="14"/>
  <c r="H75" i="14" s="1"/>
  <c r="G49" i="14"/>
  <c r="I87" i="7"/>
  <c r="K87" i="7" s="1"/>
  <c r="O87" i="7"/>
  <c r="Q89" i="7"/>
  <c r="S89" i="7" s="1"/>
  <c r="O89" i="7"/>
  <c r="I109" i="7"/>
  <c r="K109" i="7" s="1"/>
  <c r="Q109" i="7"/>
  <c r="S109" i="7" s="1"/>
  <c r="G109" i="7"/>
  <c r="Y109" i="7"/>
  <c r="I188" i="10" s="1"/>
  <c r="I53" i="14"/>
  <c r="I75" i="14" s="1"/>
  <c r="G55" i="14"/>
  <c r="G77" i="14" s="1"/>
  <c r="E57" i="14"/>
  <c r="E79" i="14" s="1"/>
  <c r="H58" i="14"/>
  <c r="H80" i="14" s="1"/>
  <c r="F60" i="14"/>
  <c r="F82" i="14" s="1"/>
  <c r="I61" i="14"/>
  <c r="I83" i="14" s="1"/>
  <c r="G63" i="14"/>
  <c r="G85" i="14" s="1"/>
  <c r="E65" i="14"/>
  <c r="E87" i="14" s="1"/>
  <c r="H66" i="14"/>
  <c r="H88" i="14" s="1"/>
  <c r="F68" i="14"/>
  <c r="F90" i="14" s="1"/>
  <c r="I69" i="14"/>
  <c r="I91" i="14" s="1"/>
  <c r="H49" i="14"/>
  <c r="Q83" i="7"/>
  <c r="Q91" i="7"/>
  <c r="S91" i="7" s="1"/>
  <c r="I104" i="7"/>
  <c r="K104" i="7" s="1"/>
  <c r="Y107" i="7"/>
  <c r="I186" i="10" s="1"/>
  <c r="G107" i="7"/>
  <c r="O107" i="7"/>
  <c r="O108" i="7"/>
  <c r="W111" i="7"/>
  <c r="G190" i="10" s="1"/>
  <c r="O121" i="7"/>
  <c r="O122" i="7"/>
  <c r="W124" i="7"/>
  <c r="G208" i="10" s="1"/>
  <c r="W102" i="7"/>
  <c r="G181" i="10" s="1"/>
  <c r="O110" i="7"/>
  <c r="O111" i="7"/>
  <c r="E49" i="14"/>
  <c r="O102" i="7"/>
  <c r="W104" i="7"/>
  <c r="G183" i="10" s="1"/>
  <c r="Q110" i="7"/>
  <c r="O112" i="7"/>
  <c r="Y112" i="7"/>
  <c r="I191" i="10" s="1"/>
  <c r="W117" i="7"/>
  <c r="G201" i="10" s="1"/>
  <c r="E27" i="14"/>
  <c r="H54" i="14"/>
  <c r="H76" i="14" s="1"/>
  <c r="F56" i="14"/>
  <c r="F78" i="14" s="1"/>
  <c r="I57" i="14"/>
  <c r="I79" i="14" s="1"/>
  <c r="F49" i="14"/>
  <c r="O104" i="7"/>
  <c r="Y104" i="7"/>
  <c r="I183" i="10" s="1"/>
  <c r="O117" i="7"/>
  <c r="Q126" i="7"/>
  <c r="Y126" i="7"/>
  <c r="I210" i="10" s="1"/>
  <c r="G27" i="14"/>
  <c r="G117" i="14"/>
  <c r="G143" i="14"/>
  <c r="G165" i="14" s="1"/>
  <c r="F67" i="14"/>
  <c r="F89" i="14" s="1"/>
  <c r="I68" i="14"/>
  <c r="I90" i="14" s="1"/>
  <c r="E117" i="14"/>
  <c r="F117" i="14"/>
  <c r="F143" i="14"/>
  <c r="F165" i="14" s="1"/>
  <c r="I139" i="14"/>
  <c r="I117" i="14"/>
  <c r="I143" i="14"/>
  <c r="I165" i="14" s="1"/>
  <c r="E53" i="14"/>
  <c r="E75" i="14" s="1"/>
  <c r="E139" i="14"/>
  <c r="F139" i="14"/>
  <c r="H143" i="14"/>
  <c r="H165" i="14" s="1"/>
  <c r="E13" i="12" s="1"/>
  <c r="F313" i="6" l="1"/>
  <c r="E57" i="12"/>
  <c r="E56" i="12"/>
  <c r="AO143" i="12"/>
  <c r="AO144" i="12"/>
  <c r="AA144" i="12"/>
  <c r="AA143" i="12"/>
  <c r="F86" i="12"/>
  <c r="F85" i="12"/>
  <c r="F115" i="12"/>
  <c r="F114" i="12"/>
  <c r="G120" i="7"/>
  <c r="G111" i="10"/>
  <c r="V38" i="7"/>
  <c r="F111" i="10" s="1"/>
  <c r="I111" i="10"/>
  <c r="X38" i="7"/>
  <c r="H111" i="10" s="1"/>
  <c r="I59" i="15"/>
  <c r="D59" i="15" s="1"/>
  <c r="I63" i="15"/>
  <c r="D63" i="15" s="1"/>
  <c r="I67" i="15"/>
  <c r="D67" i="15" s="1"/>
  <c r="I71" i="15"/>
  <c r="D71" i="15" s="1"/>
  <c r="I64" i="15"/>
  <c r="D64" i="15" s="1"/>
  <c r="I56" i="15"/>
  <c r="D56" i="15" s="1"/>
  <c r="I57" i="15"/>
  <c r="D57" i="15" s="1"/>
  <c r="I61" i="15"/>
  <c r="D61" i="15" s="1"/>
  <c r="I65" i="15"/>
  <c r="D65" i="15" s="1"/>
  <c r="I69" i="15"/>
  <c r="D69" i="15" s="1"/>
  <c r="I68" i="15"/>
  <c r="D68" i="15" s="1"/>
  <c r="I58" i="15"/>
  <c r="D58" i="15" s="1"/>
  <c r="I62" i="15"/>
  <c r="D62" i="15" s="1"/>
  <c r="I66" i="15"/>
  <c r="D66" i="15" s="1"/>
  <c r="I70" i="15"/>
  <c r="D70" i="15" s="1"/>
  <c r="I60" i="15"/>
  <c r="D60" i="15" s="1"/>
  <c r="I55" i="15"/>
  <c r="D55" i="15" s="1"/>
  <c r="I35" i="15"/>
  <c r="D35" i="15" s="1"/>
  <c r="I39" i="15"/>
  <c r="D39" i="15" s="1"/>
  <c r="I43" i="15"/>
  <c r="D43" i="15" s="1"/>
  <c r="I47" i="15"/>
  <c r="D47" i="15" s="1"/>
  <c r="E47" i="15" s="1"/>
  <c r="I36" i="15"/>
  <c r="D36" i="15" s="1"/>
  <c r="I37" i="15"/>
  <c r="D37" i="15" s="1"/>
  <c r="I41" i="15"/>
  <c r="D41" i="15" s="1"/>
  <c r="E41" i="15" s="1"/>
  <c r="I45" i="15"/>
  <c r="D45" i="15" s="1"/>
  <c r="E45" i="15" s="1"/>
  <c r="I49" i="15"/>
  <c r="D49" i="15" s="1"/>
  <c r="I44" i="15"/>
  <c r="D44" i="15" s="1"/>
  <c r="I34" i="15"/>
  <c r="D34" i="15" s="1"/>
  <c r="E34" i="15" s="1"/>
  <c r="I38" i="15"/>
  <c r="D38" i="15" s="1"/>
  <c r="I42" i="15"/>
  <c r="D42" i="15" s="1"/>
  <c r="E42" i="15" s="1"/>
  <c r="I46" i="15"/>
  <c r="D46" i="15" s="1"/>
  <c r="I33" i="15"/>
  <c r="D33" i="15" s="1"/>
  <c r="I40" i="15"/>
  <c r="D40" i="15" s="1"/>
  <c r="E40" i="15" s="1"/>
  <c r="I48" i="15"/>
  <c r="D48" i="15" s="1"/>
  <c r="E37" i="15"/>
  <c r="E43" i="15"/>
  <c r="E49" i="15"/>
  <c r="E48" i="15"/>
  <c r="E44" i="15"/>
  <c r="E46" i="15"/>
  <c r="E35" i="15"/>
  <c r="M202" i="10"/>
  <c r="N202" i="10"/>
  <c r="N106" i="10"/>
  <c r="F17" i="12"/>
  <c r="E17" i="12"/>
  <c r="E28" i="12" s="1"/>
  <c r="G118" i="7"/>
  <c r="G110" i="7"/>
  <c r="G81" i="7"/>
  <c r="G126" i="7"/>
  <c r="G25" i="7"/>
  <c r="M188" i="10"/>
  <c r="N172" i="10"/>
  <c r="Q206" i="6"/>
  <c r="R206" i="6" s="1"/>
  <c r="N86" i="10"/>
  <c r="M86" i="10"/>
  <c r="N112" i="10"/>
  <c r="N109" i="10"/>
  <c r="N120" i="10"/>
  <c r="N161" i="10"/>
  <c r="M161" i="10"/>
  <c r="N107" i="10"/>
  <c r="M136" i="10"/>
  <c r="N136" i="10"/>
  <c r="N113" i="10"/>
  <c r="N156" i="10"/>
  <c r="N204" i="10"/>
  <c r="M201" i="10"/>
  <c r="N201" i="10"/>
  <c r="M207" i="10"/>
  <c r="N207" i="10"/>
  <c r="N210" i="10"/>
  <c r="N205" i="10"/>
  <c r="N200" i="10"/>
  <c r="M208" i="10"/>
  <c r="N208" i="10"/>
  <c r="M209" i="10"/>
  <c r="N209" i="10"/>
  <c r="M203" i="10"/>
  <c r="N203" i="10"/>
  <c r="N206" i="10"/>
  <c r="M210" i="10"/>
  <c r="M205" i="10"/>
  <c r="M206" i="10"/>
  <c r="M204" i="10"/>
  <c r="M200" i="10"/>
  <c r="N185" i="10"/>
  <c r="M185" i="10"/>
  <c r="N190" i="10"/>
  <c r="M190" i="10"/>
  <c r="M182" i="10"/>
  <c r="N182" i="10"/>
  <c r="M186" i="10"/>
  <c r="N186" i="10"/>
  <c r="N184" i="10"/>
  <c r="M184" i="10"/>
  <c r="N188" i="10"/>
  <c r="N187" i="10"/>
  <c r="M187" i="10"/>
  <c r="N183" i="10"/>
  <c r="M183" i="10"/>
  <c r="N189" i="10"/>
  <c r="M189" i="10"/>
  <c r="N191" i="10"/>
  <c r="M191" i="10"/>
  <c r="M181" i="10"/>
  <c r="N181" i="10"/>
  <c r="N170" i="10"/>
  <c r="M170" i="10"/>
  <c r="N166" i="10"/>
  <c r="M166" i="10"/>
  <c r="M163" i="10"/>
  <c r="N163" i="10"/>
  <c r="N157" i="10"/>
  <c r="M157" i="10"/>
  <c r="N169" i="10"/>
  <c r="M169" i="10"/>
  <c r="N162" i="10"/>
  <c r="M162" i="10"/>
  <c r="M172" i="10"/>
  <c r="N159" i="10"/>
  <c r="M159" i="10"/>
  <c r="N165" i="10"/>
  <c r="M165" i="10"/>
  <c r="M167" i="10"/>
  <c r="N167" i="10"/>
  <c r="N160" i="10"/>
  <c r="M160" i="10"/>
  <c r="M171" i="10"/>
  <c r="N171" i="10"/>
  <c r="N168" i="10"/>
  <c r="M168" i="10"/>
  <c r="N164" i="10"/>
  <c r="M164" i="10"/>
  <c r="N158" i="10"/>
  <c r="M158" i="10"/>
  <c r="M156" i="10"/>
  <c r="N135" i="10"/>
  <c r="M135" i="10"/>
  <c r="M138" i="10"/>
  <c r="N138" i="10"/>
  <c r="M140" i="10"/>
  <c r="N140" i="10"/>
  <c r="N147" i="10"/>
  <c r="M147" i="10"/>
  <c r="N133" i="10"/>
  <c r="M133" i="10"/>
  <c r="M144" i="10"/>
  <c r="N144" i="10"/>
  <c r="M142" i="10"/>
  <c r="N142" i="10"/>
  <c r="M134" i="10"/>
  <c r="N134" i="10"/>
  <c r="M146" i="10"/>
  <c r="N146" i="10"/>
  <c r="N137" i="10"/>
  <c r="M137" i="10"/>
  <c r="N145" i="10"/>
  <c r="M145" i="10"/>
  <c r="N132" i="10"/>
  <c r="M132" i="10"/>
  <c r="N143" i="10"/>
  <c r="M143" i="10"/>
  <c r="N141" i="10"/>
  <c r="M141" i="10"/>
  <c r="N139" i="10"/>
  <c r="M139" i="10"/>
  <c r="N131" i="10"/>
  <c r="M131" i="10"/>
  <c r="M115" i="10"/>
  <c r="N115" i="10"/>
  <c r="M82" i="10"/>
  <c r="N82" i="10"/>
  <c r="N81" i="10"/>
  <c r="M81" i="10"/>
  <c r="N206" i="6"/>
  <c r="O206" i="6" s="1"/>
  <c r="Q301" i="6"/>
  <c r="R301" i="6" s="1"/>
  <c r="N204" i="6"/>
  <c r="O204" i="6" s="1"/>
  <c r="N210" i="6"/>
  <c r="O210" i="6" s="1"/>
  <c r="Q307" i="6"/>
  <c r="R307" i="6" s="1"/>
  <c r="N197" i="6"/>
  <c r="O197" i="6" s="1"/>
  <c r="Q280" i="6"/>
  <c r="R280" i="6" s="1"/>
  <c r="F352" i="11" s="1"/>
  <c r="L238" i="6"/>
  <c r="Q261" i="6"/>
  <c r="R261" i="6" s="1"/>
  <c r="F315" i="11" s="1"/>
  <c r="K238" i="6"/>
  <c r="E238" i="6"/>
  <c r="N261" i="6"/>
  <c r="O261" i="6" s="1"/>
  <c r="E315" i="11" s="1"/>
  <c r="Q209" i="6"/>
  <c r="R209" i="6" s="1"/>
  <c r="N209" i="6"/>
  <c r="O209" i="6" s="1"/>
  <c r="N201" i="6"/>
  <c r="O201" i="6" s="1"/>
  <c r="Q304" i="6"/>
  <c r="R304" i="6" s="1"/>
  <c r="N205" i="6"/>
  <c r="O205" i="6" s="1"/>
  <c r="N203" i="6"/>
  <c r="O203" i="6" s="1"/>
  <c r="N196" i="6"/>
  <c r="O196" i="6" s="1"/>
  <c r="N208" i="6"/>
  <c r="O208" i="6" s="1"/>
  <c r="F140" i="12"/>
  <c r="O87" i="10"/>
  <c r="Q303" i="6"/>
  <c r="R303" i="6" s="1"/>
  <c r="Q198" i="6"/>
  <c r="R198" i="6" s="1"/>
  <c r="N198" i="6"/>
  <c r="O198" i="6" s="1"/>
  <c r="Q308" i="6"/>
  <c r="R308" i="6" s="1"/>
  <c r="Q310" i="6"/>
  <c r="R310" i="6" s="1"/>
  <c r="Q302" i="6"/>
  <c r="R302" i="6" s="1"/>
  <c r="Q197" i="6"/>
  <c r="R197" i="6" s="1"/>
  <c r="Q305" i="6"/>
  <c r="R305" i="6" s="1"/>
  <c r="Q306" i="6"/>
  <c r="R306" i="6" s="1"/>
  <c r="Q201" i="6"/>
  <c r="R201" i="6" s="1"/>
  <c r="Q196" i="6"/>
  <c r="R196" i="6" s="1"/>
  <c r="N195" i="6"/>
  <c r="O195" i="6" s="1"/>
  <c r="Q311" i="6"/>
  <c r="R311" i="6" s="1"/>
  <c r="Q210" i="6"/>
  <c r="R210" i="6" s="1"/>
  <c r="Q204" i="6"/>
  <c r="R204" i="6" s="1"/>
  <c r="Q309" i="6"/>
  <c r="R309" i="6" s="1"/>
  <c r="N207" i="6"/>
  <c r="O207" i="6" s="1"/>
  <c r="Q199" i="6"/>
  <c r="R199" i="6" s="1"/>
  <c r="Q195" i="6"/>
  <c r="R195" i="6" s="1"/>
  <c r="N199" i="6"/>
  <c r="O199" i="6" s="1"/>
  <c r="Q207" i="6"/>
  <c r="R207" i="6" s="1"/>
  <c r="Q211" i="6"/>
  <c r="R211" i="6" s="1"/>
  <c r="Q208" i="6"/>
  <c r="R208" i="6" s="1"/>
  <c r="Q205" i="6"/>
  <c r="R205" i="6" s="1"/>
  <c r="Q203" i="6"/>
  <c r="R203" i="6" s="1"/>
  <c r="F21" i="12"/>
  <c r="Q56" i="6"/>
  <c r="R56" i="6" s="1"/>
  <c r="Q28" i="6"/>
  <c r="R28" i="6" s="1"/>
  <c r="F159" i="11" s="1"/>
  <c r="O96" i="10"/>
  <c r="Q70" i="6"/>
  <c r="R70" i="6" s="1"/>
  <c r="F138" i="12"/>
  <c r="Q57" i="6"/>
  <c r="R57" i="6" s="1"/>
  <c r="Q64" i="6"/>
  <c r="R64" i="6" s="1"/>
  <c r="Q71" i="6"/>
  <c r="R71" i="6" s="1"/>
  <c r="Q62" i="6"/>
  <c r="R62" i="6" s="1"/>
  <c r="O95" i="10"/>
  <c r="Q69" i="6"/>
  <c r="R69" i="6" s="1"/>
  <c r="Q66" i="6"/>
  <c r="R66" i="6" s="1"/>
  <c r="Q67" i="6"/>
  <c r="R67" i="6" s="1"/>
  <c r="Q65" i="6"/>
  <c r="R65" i="6" s="1"/>
  <c r="Q59" i="6"/>
  <c r="R59" i="6" s="1"/>
  <c r="Q68" i="6"/>
  <c r="R68" i="6" s="1"/>
  <c r="Q55" i="6"/>
  <c r="R55" i="6" s="1"/>
  <c r="Q58" i="6"/>
  <c r="R58" i="6" s="1"/>
  <c r="Q63" i="6"/>
  <c r="R63" i="6" s="1"/>
  <c r="Q60" i="6"/>
  <c r="R60" i="6" s="1"/>
  <c r="N68" i="6"/>
  <c r="O68" i="6" s="1"/>
  <c r="R12" i="7"/>
  <c r="E313" i="6"/>
  <c r="N63" i="6"/>
  <c r="O63" i="6" s="1"/>
  <c r="N71" i="6"/>
  <c r="O71" i="6" s="1"/>
  <c r="S42" i="7"/>
  <c r="S25" i="7"/>
  <c r="F135" i="12"/>
  <c r="L24" i="10"/>
  <c r="F126" i="12"/>
  <c r="R48" i="7"/>
  <c r="T48" i="7" s="1"/>
  <c r="E121" i="10" s="1"/>
  <c r="R45" i="7"/>
  <c r="T45" i="7" s="1"/>
  <c r="E118" i="10" s="1"/>
  <c r="R39" i="7"/>
  <c r="T39" i="7" s="1"/>
  <c r="E112" i="10" s="1"/>
  <c r="R35" i="7"/>
  <c r="T35" i="7" s="1"/>
  <c r="E108" i="10" s="1"/>
  <c r="R52" i="7"/>
  <c r="T52" i="7" s="1"/>
  <c r="S38" i="7"/>
  <c r="R42" i="7"/>
  <c r="R33" i="7"/>
  <c r="T33" i="7" s="1"/>
  <c r="E106" i="10" s="1"/>
  <c r="T47" i="7"/>
  <c r="E120" i="10" s="1"/>
  <c r="R47" i="7"/>
  <c r="R41" i="7"/>
  <c r="T41" i="7" s="1"/>
  <c r="E114" i="10" s="1"/>
  <c r="T34" i="7"/>
  <c r="E107" i="10" s="1"/>
  <c r="R34" i="7"/>
  <c r="R44" i="7"/>
  <c r="T44" i="7" s="1"/>
  <c r="E117" i="10" s="1"/>
  <c r="R37" i="7"/>
  <c r="T37" i="7" s="1"/>
  <c r="E110" i="10" s="1"/>
  <c r="D11" i="15"/>
  <c r="R49" i="7"/>
  <c r="T49" i="7" s="1"/>
  <c r="E122" i="10" s="1"/>
  <c r="R43" i="7"/>
  <c r="T43" i="7" s="1"/>
  <c r="E116" i="10" s="1"/>
  <c r="R36" i="7"/>
  <c r="T36" i="7"/>
  <c r="E109" i="10" s="1"/>
  <c r="T51" i="7"/>
  <c r="R51" i="7"/>
  <c r="R46" i="7"/>
  <c r="T46" i="7" s="1"/>
  <c r="E119" i="10" s="1"/>
  <c r="R40" i="7"/>
  <c r="T40" i="7" s="1"/>
  <c r="E113" i="10" s="1"/>
  <c r="L25" i="10"/>
  <c r="G105" i="7"/>
  <c r="F52" i="7"/>
  <c r="F38" i="7" s="1"/>
  <c r="F36" i="7"/>
  <c r="F41" i="7"/>
  <c r="F45" i="7"/>
  <c r="F49" i="7"/>
  <c r="G42" i="7"/>
  <c r="F40" i="7"/>
  <c r="F48" i="7"/>
  <c r="F51" i="7"/>
  <c r="F37" i="7"/>
  <c r="F42" i="7"/>
  <c r="F46" i="7"/>
  <c r="F33" i="7"/>
  <c r="F34" i="7"/>
  <c r="F39" i="7"/>
  <c r="F43" i="7"/>
  <c r="F47" i="7"/>
  <c r="F35" i="7"/>
  <c r="F44" i="7"/>
  <c r="I105" i="7"/>
  <c r="H51" i="7"/>
  <c r="H37" i="7"/>
  <c r="H42" i="7"/>
  <c r="H46" i="7"/>
  <c r="H33" i="7"/>
  <c r="J33" i="7" s="1"/>
  <c r="H44" i="7"/>
  <c r="I42" i="7"/>
  <c r="H52" i="7"/>
  <c r="H38" i="7" s="1"/>
  <c r="H36" i="7"/>
  <c r="H41" i="7"/>
  <c r="H45" i="7"/>
  <c r="H49" i="7"/>
  <c r="H34" i="7"/>
  <c r="H39" i="7"/>
  <c r="H43" i="7"/>
  <c r="H47" i="7"/>
  <c r="H35" i="7"/>
  <c r="H40" i="7"/>
  <c r="J40" i="7" s="1"/>
  <c r="H48" i="7"/>
  <c r="S12" i="7"/>
  <c r="G12" i="7"/>
  <c r="I14" i="7"/>
  <c r="K14" i="7" s="1"/>
  <c r="I12" i="7"/>
  <c r="G13" i="7"/>
  <c r="I13" i="7"/>
  <c r="N55" i="6"/>
  <c r="O55" i="6" s="1"/>
  <c r="S14" i="7"/>
  <c r="K25" i="7"/>
  <c r="S13" i="7"/>
  <c r="I71" i="14"/>
  <c r="I93" i="14" s="1"/>
  <c r="I50" i="15" s="1"/>
  <c r="N56" i="6"/>
  <c r="O56" i="6" s="1"/>
  <c r="N305" i="6"/>
  <c r="O305" i="6" s="1"/>
  <c r="H313" i="6"/>
  <c r="N23" i="15"/>
  <c r="N15" i="15"/>
  <c r="H73" i="6"/>
  <c r="H213" i="6"/>
  <c r="G161" i="14"/>
  <c r="G183" i="14" s="1"/>
  <c r="G72" i="15" s="1"/>
  <c r="R14" i="7"/>
  <c r="N7" i="15"/>
  <c r="AG139" i="12"/>
  <c r="AG124" i="12"/>
  <c r="AG131" i="12"/>
  <c r="AG123" i="12"/>
  <c r="AG129" i="12"/>
  <c r="I120" i="7"/>
  <c r="I60" i="7"/>
  <c r="E12" i="13"/>
  <c r="E13" i="13"/>
  <c r="E16" i="13"/>
  <c r="E19" i="13"/>
  <c r="E23" i="13"/>
  <c r="E8" i="13"/>
  <c r="E17" i="13"/>
  <c r="E24" i="13"/>
  <c r="E7" i="13"/>
  <c r="E10" i="13"/>
  <c r="E9" i="13"/>
  <c r="E18" i="13"/>
  <c r="E25" i="13"/>
  <c r="E20" i="13"/>
  <c r="E15" i="13"/>
  <c r="E22" i="13"/>
  <c r="G94" i="10"/>
  <c r="N94" i="10" s="1"/>
  <c r="G88" i="10"/>
  <c r="N88" i="10" s="1"/>
  <c r="G83" i="10"/>
  <c r="N83" i="10" s="1"/>
  <c r="G92" i="10"/>
  <c r="N92" i="10" s="1"/>
  <c r="G89" i="10"/>
  <c r="N89" i="10" s="1"/>
  <c r="G84" i="10"/>
  <c r="N84" i="10" s="1"/>
  <c r="G95" i="10"/>
  <c r="N95" i="10" s="1"/>
  <c r="G93" i="10"/>
  <c r="N93" i="10" s="1"/>
  <c r="G90" i="10"/>
  <c r="N90" i="10" s="1"/>
  <c r="G58" i="7"/>
  <c r="I213" i="6"/>
  <c r="E40" i="10"/>
  <c r="L40" i="10" s="1"/>
  <c r="R24" i="7"/>
  <c r="T24" i="7" s="1"/>
  <c r="E95" i="10" s="1"/>
  <c r="R71" i="7"/>
  <c r="T71" i="7" s="1"/>
  <c r="E146" i="10" s="1"/>
  <c r="R26" i="7"/>
  <c r="T26" i="7" s="1"/>
  <c r="E97" i="10" s="1"/>
  <c r="F136" i="12"/>
  <c r="O97" i="10"/>
  <c r="R19" i="7"/>
  <c r="T19" i="7" s="1"/>
  <c r="E90" i="10" s="1"/>
  <c r="R11" i="7"/>
  <c r="T11" i="7" s="1"/>
  <c r="E82" i="10" s="1"/>
  <c r="R25" i="7"/>
  <c r="R13" i="7"/>
  <c r="R20" i="7"/>
  <c r="T20" i="7" s="1"/>
  <c r="E91" i="10" s="1"/>
  <c r="S105" i="7"/>
  <c r="F19" i="12"/>
  <c r="N20" i="15"/>
  <c r="F16" i="12"/>
  <c r="N12" i="15"/>
  <c r="F20" i="12"/>
  <c r="N21" i="15"/>
  <c r="F25" i="12"/>
  <c r="N13" i="15"/>
  <c r="F9" i="12"/>
  <c r="N16" i="15"/>
  <c r="F14" i="12"/>
  <c r="N8" i="15"/>
  <c r="F11" i="12"/>
  <c r="N22" i="15"/>
  <c r="F24" i="12"/>
  <c r="N14" i="15"/>
  <c r="F18" i="12"/>
  <c r="N17" i="15"/>
  <c r="F23" i="12"/>
  <c r="N9" i="15"/>
  <c r="F10" i="12"/>
  <c r="N19" i="15"/>
  <c r="F15" i="12"/>
  <c r="N11" i="15"/>
  <c r="F26" i="12"/>
  <c r="N18" i="15"/>
  <c r="F8" i="12"/>
  <c r="N10" i="15"/>
  <c r="I161" i="14"/>
  <c r="I183" i="14" s="1"/>
  <c r="I72" i="15" s="1"/>
  <c r="H161" i="14"/>
  <c r="H183" i="14" s="1"/>
  <c r="H72" i="15" s="1"/>
  <c r="E71" i="14"/>
  <c r="E93" i="14" s="1"/>
  <c r="E50" i="15" s="1"/>
  <c r="I313" i="6"/>
  <c r="L73" i="6"/>
  <c r="J313" i="6"/>
  <c r="F73" i="6"/>
  <c r="I73" i="6"/>
  <c r="K73" i="6"/>
  <c r="L313" i="6"/>
  <c r="E43" i="10"/>
  <c r="L43" i="10" s="1"/>
  <c r="E35" i="10"/>
  <c r="L35" i="10" s="1"/>
  <c r="E47" i="10"/>
  <c r="L47" i="10" s="1"/>
  <c r="E39" i="10"/>
  <c r="L39" i="10" s="1"/>
  <c r="E44" i="10"/>
  <c r="L44" i="10" s="1"/>
  <c r="E36" i="10"/>
  <c r="L36" i="10" s="1"/>
  <c r="G347" i="6"/>
  <c r="J73" i="6"/>
  <c r="G73" i="6"/>
  <c r="K313" i="6"/>
  <c r="E45" i="10"/>
  <c r="L45" i="10" s="1"/>
  <c r="E41" i="10"/>
  <c r="L41" i="10" s="1"/>
  <c r="E37" i="10"/>
  <c r="L37" i="10" s="1"/>
  <c r="E31" i="10"/>
  <c r="L31" i="10" s="1"/>
  <c r="J347" i="6"/>
  <c r="E32" i="10"/>
  <c r="L32" i="10" s="1"/>
  <c r="I347" i="6"/>
  <c r="F13" i="12"/>
  <c r="F161" i="14"/>
  <c r="F183" i="14" s="1"/>
  <c r="F72" i="15" s="1"/>
  <c r="I72" i="12"/>
  <c r="E73" i="12"/>
  <c r="E82" i="12"/>
  <c r="E81" i="12"/>
  <c r="E74" i="12"/>
  <c r="E66" i="12"/>
  <c r="E75" i="12"/>
  <c r="E83" i="12"/>
  <c r="E67" i="12"/>
  <c r="E76" i="12"/>
  <c r="E77" i="12"/>
  <c r="E68" i="12"/>
  <c r="E78" i="12"/>
  <c r="E70" i="12"/>
  <c r="E71" i="12"/>
  <c r="I80" i="12"/>
  <c r="E65" i="12"/>
  <c r="AG136" i="12"/>
  <c r="AG126" i="12"/>
  <c r="AG135" i="12"/>
  <c r="AG125" i="12"/>
  <c r="AG141" i="12"/>
  <c r="AG134" i="12"/>
  <c r="E107" i="12"/>
  <c r="E96" i="12"/>
  <c r="E112" i="12"/>
  <c r="E104" i="12"/>
  <c r="E95" i="12"/>
  <c r="E103" i="12"/>
  <c r="I101" i="12"/>
  <c r="E94" i="12"/>
  <c r="I109" i="12"/>
  <c r="E100" i="12"/>
  <c r="E99" i="12"/>
  <c r="E110" i="12"/>
  <c r="E97" i="12"/>
  <c r="E102" i="12"/>
  <c r="E105" i="12"/>
  <c r="E111" i="12"/>
  <c r="E106" i="12"/>
  <c r="E129" i="12"/>
  <c r="E138" i="12"/>
  <c r="E123" i="12"/>
  <c r="E131" i="12"/>
  <c r="E140" i="12"/>
  <c r="E139" i="12"/>
  <c r="E124" i="12"/>
  <c r="E133" i="12"/>
  <c r="E141" i="12"/>
  <c r="E134" i="12"/>
  <c r="E135" i="12"/>
  <c r="E126" i="12"/>
  <c r="Z128" i="12"/>
  <c r="Z129" i="12"/>
  <c r="AD138" i="12"/>
  <c r="Z123" i="12"/>
  <c r="AD130" i="12"/>
  <c r="Z131" i="12"/>
  <c r="Z140" i="12"/>
  <c r="Z139" i="12"/>
  <c r="Z132" i="12"/>
  <c r="Z124" i="12"/>
  <c r="Z133" i="12"/>
  <c r="Z141" i="12"/>
  <c r="Z125" i="12"/>
  <c r="Z134" i="12"/>
  <c r="Z135" i="12"/>
  <c r="Z126" i="12"/>
  <c r="Z136" i="12"/>
  <c r="AR138" i="12"/>
  <c r="AN136" i="12"/>
  <c r="AN126" i="12"/>
  <c r="AN135" i="12"/>
  <c r="AN125" i="12"/>
  <c r="AN141" i="12"/>
  <c r="AN134" i="12"/>
  <c r="AN128" i="12"/>
  <c r="AN129" i="12"/>
  <c r="AN123" i="12"/>
  <c r="AR130" i="12"/>
  <c r="AN131" i="12"/>
  <c r="AN140" i="12"/>
  <c r="AN139" i="12"/>
  <c r="AN132" i="12"/>
  <c r="AN124" i="12"/>
  <c r="AN133" i="12"/>
  <c r="S128" i="12"/>
  <c r="W130" i="12"/>
  <c r="S132" i="12"/>
  <c r="S124" i="12"/>
  <c r="S141" i="12"/>
  <c r="S125" i="12"/>
  <c r="S134" i="12"/>
  <c r="S136" i="12"/>
  <c r="S131" i="12"/>
  <c r="S140" i="12"/>
  <c r="S139" i="12"/>
  <c r="S133" i="12"/>
  <c r="S135" i="12"/>
  <c r="S126" i="12"/>
  <c r="S129" i="12"/>
  <c r="S123" i="12"/>
  <c r="W138" i="12"/>
  <c r="AG128" i="12"/>
  <c r="AG140" i="12"/>
  <c r="E128" i="12"/>
  <c r="E136" i="12"/>
  <c r="E125" i="12"/>
  <c r="E132" i="12"/>
  <c r="E130" i="12"/>
  <c r="AG132" i="12"/>
  <c r="AG133" i="12"/>
  <c r="M50" i="10"/>
  <c r="E42" i="10"/>
  <c r="L42" i="10" s="1"/>
  <c r="E33" i="10"/>
  <c r="L33" i="10" s="1"/>
  <c r="M49" i="10"/>
  <c r="E46" i="10"/>
  <c r="L46" i="10" s="1"/>
  <c r="E38" i="10"/>
  <c r="L38" i="10" s="1"/>
  <c r="O86" i="10"/>
  <c r="F131" i="12"/>
  <c r="O191" i="10"/>
  <c r="AH133" i="12"/>
  <c r="O85" i="10"/>
  <c r="F130" i="12"/>
  <c r="O190" i="10"/>
  <c r="AH124" i="12"/>
  <c r="O91" i="10"/>
  <c r="F133" i="12"/>
  <c r="O184" i="10"/>
  <c r="AH123" i="12"/>
  <c r="O189" i="10"/>
  <c r="AH132" i="12"/>
  <c r="O94" i="10"/>
  <c r="F134" i="12"/>
  <c r="O84" i="10"/>
  <c r="F123" i="12"/>
  <c r="O185" i="10"/>
  <c r="AH130" i="12"/>
  <c r="AL130" i="12" s="1"/>
  <c r="L14" i="13" s="1"/>
  <c r="O188" i="10"/>
  <c r="AH139" i="12"/>
  <c r="O93" i="10"/>
  <c r="F125" i="12"/>
  <c r="O82" i="10"/>
  <c r="F129" i="12"/>
  <c r="O92" i="10"/>
  <c r="F141" i="12"/>
  <c r="O81" i="10"/>
  <c r="F128" i="12"/>
  <c r="O183" i="10"/>
  <c r="AH138" i="12"/>
  <c r="AL138" i="12" s="1"/>
  <c r="L22" i="13" s="1"/>
  <c r="O187" i="10"/>
  <c r="AH140" i="12"/>
  <c r="O90" i="10"/>
  <c r="F124" i="12"/>
  <c r="G213" i="6"/>
  <c r="O182" i="10"/>
  <c r="AH129" i="12"/>
  <c r="O186" i="10"/>
  <c r="AH131" i="12"/>
  <c r="O89" i="10"/>
  <c r="F132" i="12"/>
  <c r="O181" i="10"/>
  <c r="AH128" i="12"/>
  <c r="N66" i="6"/>
  <c r="O66" i="6" s="1"/>
  <c r="O88" i="10"/>
  <c r="F139" i="12"/>
  <c r="S60" i="7"/>
  <c r="E14" i="13"/>
  <c r="S58" i="7"/>
  <c r="R29" i="7"/>
  <c r="F37" i="12"/>
  <c r="H75" i="12"/>
  <c r="N59" i="6"/>
  <c r="O59" i="6" s="1"/>
  <c r="F213" i="6"/>
  <c r="N62" i="6"/>
  <c r="O62" i="6" s="1"/>
  <c r="E313" i="11"/>
  <c r="D313" i="11" s="1"/>
  <c r="F313" i="11" s="1"/>
  <c r="E213" i="6"/>
  <c r="N67" i="6"/>
  <c r="O67" i="6" s="1"/>
  <c r="N304" i="6"/>
  <c r="O304" i="6" s="1"/>
  <c r="N60" i="6"/>
  <c r="O60" i="6" s="1"/>
  <c r="N64" i="6"/>
  <c r="O64" i="6" s="1"/>
  <c r="S126" i="7"/>
  <c r="S83" i="7"/>
  <c r="S120" i="7"/>
  <c r="S118" i="7"/>
  <c r="S110" i="7"/>
  <c r="S81" i="7"/>
  <c r="R18" i="7"/>
  <c r="T18" i="7" s="1"/>
  <c r="E89" i="10" s="1"/>
  <c r="R91" i="7"/>
  <c r="T91" i="7" s="1"/>
  <c r="E168" i="10" s="1"/>
  <c r="R88" i="7"/>
  <c r="T88" i="7" s="1"/>
  <c r="E165" i="10" s="1"/>
  <c r="R57" i="7"/>
  <c r="T57" i="7" s="1"/>
  <c r="E132" i="10" s="1"/>
  <c r="R79" i="7"/>
  <c r="T79" i="7" s="1"/>
  <c r="E156" i="10" s="1"/>
  <c r="R112" i="7"/>
  <c r="T112" i="7" s="1"/>
  <c r="E191" i="10" s="1"/>
  <c r="R104" i="7"/>
  <c r="T104" i="7" s="1"/>
  <c r="E183" i="10" s="1"/>
  <c r="R94" i="7"/>
  <c r="T94" i="7" s="1"/>
  <c r="E171" i="10" s="1"/>
  <c r="S122" i="7"/>
  <c r="R107" i="7"/>
  <c r="T107" i="7" s="1"/>
  <c r="E186" i="10" s="1"/>
  <c r="AJ134" i="12"/>
  <c r="AJ141" i="12"/>
  <c r="N310" i="6"/>
  <c r="O310" i="6" s="1"/>
  <c r="H126" i="7"/>
  <c r="H123" i="7"/>
  <c r="H112" i="7"/>
  <c r="H104" i="7"/>
  <c r="H111" i="7"/>
  <c r="I110" i="7"/>
  <c r="H102" i="7"/>
  <c r="H90" i="7"/>
  <c r="I124" i="7"/>
  <c r="H122" i="7"/>
  <c r="I121" i="7"/>
  <c r="H108" i="7"/>
  <c r="H124" i="7"/>
  <c r="H121" i="7"/>
  <c r="H120" i="7"/>
  <c r="H107" i="7"/>
  <c r="H106" i="7"/>
  <c r="H98" i="7"/>
  <c r="H89" i="7"/>
  <c r="H81" i="7"/>
  <c r="H118" i="7"/>
  <c r="H117" i="7"/>
  <c r="H91" i="7"/>
  <c r="H83" i="7"/>
  <c r="H71" i="7"/>
  <c r="H63" i="7"/>
  <c r="H29" i="7"/>
  <c r="H20" i="7"/>
  <c r="H93" i="7"/>
  <c r="H116" i="7"/>
  <c r="H105" i="7"/>
  <c r="H82" i="7"/>
  <c r="H79" i="7"/>
  <c r="H64" i="7"/>
  <c r="H103" i="7"/>
  <c r="H95" i="7"/>
  <c r="H75" i="7"/>
  <c r="H74" i="7"/>
  <c r="H119" i="7"/>
  <c r="H88" i="7"/>
  <c r="H87" i="7"/>
  <c r="H86" i="7"/>
  <c r="H85" i="7"/>
  <c r="I122" i="7"/>
  <c r="I81" i="7"/>
  <c r="H26" i="7"/>
  <c r="H25" i="7"/>
  <c r="H14" i="7"/>
  <c r="H11" i="7"/>
  <c r="H125" i="7"/>
  <c r="H94" i="7"/>
  <c r="H69" i="7"/>
  <c r="H66" i="7"/>
  <c r="H57" i="7"/>
  <c r="H56" i="7"/>
  <c r="H24" i="7"/>
  <c r="I126" i="7"/>
  <c r="H92" i="7"/>
  <c r="H70" i="7"/>
  <c r="H59" i="7"/>
  <c r="H110" i="7"/>
  <c r="I83" i="7"/>
  <c r="H68" i="7"/>
  <c r="H62" i="7"/>
  <c r="H19" i="7"/>
  <c r="H12" i="7"/>
  <c r="H10" i="7"/>
  <c r="I58" i="7"/>
  <c r="H23" i="7"/>
  <c r="H97" i="7"/>
  <c r="H58" i="7"/>
  <c r="H13" i="7"/>
  <c r="H22" i="7"/>
  <c r="H18" i="7"/>
  <c r="I118" i="7"/>
  <c r="H67" i="7"/>
  <c r="H28" i="7"/>
  <c r="H21" i="7"/>
  <c r="H16" i="7"/>
  <c r="H80" i="7"/>
  <c r="H72" i="7"/>
  <c r="H109" i="7"/>
  <c r="I82" i="7"/>
  <c r="H60" i="7"/>
  <c r="H17" i="7"/>
  <c r="H65" i="7"/>
  <c r="H347" i="6"/>
  <c r="N58" i="6"/>
  <c r="O58" i="6" s="1"/>
  <c r="E351" i="11"/>
  <c r="D351" i="11" s="1"/>
  <c r="F351" i="11" s="1"/>
  <c r="E347" i="11"/>
  <c r="D347" i="11" s="1"/>
  <c r="F347" i="11" s="1"/>
  <c r="E343" i="11"/>
  <c r="D343" i="11" s="1"/>
  <c r="F343" i="11" s="1"/>
  <c r="E350" i="11"/>
  <c r="D350" i="11" s="1"/>
  <c r="F350" i="11" s="1"/>
  <c r="E346" i="11"/>
  <c r="D346" i="11" s="1"/>
  <c r="F346" i="11" s="1"/>
  <c r="E342" i="11"/>
  <c r="D342" i="11" s="1"/>
  <c r="F342" i="11" s="1"/>
  <c r="E348" i="11"/>
  <c r="D348" i="11" s="1"/>
  <c r="F348" i="11" s="1"/>
  <c r="E345" i="11"/>
  <c r="D345" i="11" s="1"/>
  <c r="F345" i="11" s="1"/>
  <c r="E344" i="11"/>
  <c r="D344" i="11" s="1"/>
  <c r="F344" i="11" s="1"/>
  <c r="E349" i="11"/>
  <c r="D349" i="11" s="1"/>
  <c r="F349" i="11" s="1"/>
  <c r="N57" i="6"/>
  <c r="O57" i="6" s="1"/>
  <c r="R81" i="7"/>
  <c r="G85" i="10"/>
  <c r="N85" i="10" s="1"/>
  <c r="R60" i="7"/>
  <c r="R82" i="7"/>
  <c r="R89" i="7"/>
  <c r="T89" i="7" s="1"/>
  <c r="E166" i="10" s="1"/>
  <c r="R63" i="7"/>
  <c r="T63" i="7" s="1"/>
  <c r="E138" i="10" s="1"/>
  <c r="R17" i="7"/>
  <c r="T17" i="7" s="1"/>
  <c r="E88" i="10" s="1"/>
  <c r="R65" i="7"/>
  <c r="T65" i="7" s="1"/>
  <c r="E140" i="10" s="1"/>
  <c r="S121" i="7"/>
  <c r="R106" i="7"/>
  <c r="T106" i="7" s="1"/>
  <c r="E185" i="10" s="1"/>
  <c r="R95" i="7"/>
  <c r="T95" i="7" s="1"/>
  <c r="E172" i="10" s="1"/>
  <c r="R118" i="7"/>
  <c r="R98" i="7"/>
  <c r="AJ125" i="12"/>
  <c r="K347" i="6"/>
  <c r="G313" i="6"/>
  <c r="N280" i="6"/>
  <c r="O280" i="6" s="1"/>
  <c r="E352" i="11" s="1"/>
  <c r="T125" i="7"/>
  <c r="E209" i="10" s="1"/>
  <c r="R125" i="7"/>
  <c r="R111" i="7"/>
  <c r="T111" i="7" s="1"/>
  <c r="E190" i="10" s="1"/>
  <c r="N311" i="6"/>
  <c r="O311" i="6" s="1"/>
  <c r="AJ135" i="12"/>
  <c r="N306" i="6"/>
  <c r="O306" i="6" s="1"/>
  <c r="N28" i="6"/>
  <c r="O28" i="6" s="1"/>
  <c r="E73" i="6"/>
  <c r="G71" i="14"/>
  <c r="G93" i="14" s="1"/>
  <c r="G50" i="15" s="1"/>
  <c r="H71" i="14"/>
  <c r="H93" i="14" s="1"/>
  <c r="H50" i="15" s="1"/>
  <c r="R105" i="7"/>
  <c r="R90" i="7"/>
  <c r="T90" i="7" s="1"/>
  <c r="E167" i="10" s="1"/>
  <c r="R70" i="7"/>
  <c r="T70" i="7" s="1"/>
  <c r="E145" i="10" s="1"/>
  <c r="R56" i="7"/>
  <c r="T56" i="7" s="1"/>
  <c r="E131" i="10" s="1"/>
  <c r="R23" i="7"/>
  <c r="T23" i="7" s="1"/>
  <c r="E94" i="10" s="1"/>
  <c r="R121" i="7"/>
  <c r="S82" i="7"/>
  <c r="AJ126" i="12"/>
  <c r="O213" i="10"/>
  <c r="O212" i="10"/>
  <c r="R64" i="7"/>
  <c r="T64" i="7" s="1"/>
  <c r="E139" i="10" s="1"/>
  <c r="R80" i="7"/>
  <c r="T80" i="7" s="1"/>
  <c r="E157" i="10" s="1"/>
  <c r="R126" i="7"/>
  <c r="R123" i="7"/>
  <c r="T123" i="7" s="1"/>
  <c r="E207" i="10" s="1"/>
  <c r="R21" i="7"/>
  <c r="T21" i="7" s="1"/>
  <c r="E92" i="10" s="1"/>
  <c r="R119" i="7"/>
  <c r="T119" i="7" s="1"/>
  <c r="E203" i="10" s="1"/>
  <c r="R16" i="7"/>
  <c r="T16" i="7" s="1"/>
  <c r="E87" i="10" s="1"/>
  <c r="R74" i="7"/>
  <c r="R61" i="7" s="1"/>
  <c r="P61" i="7"/>
  <c r="R67" i="7"/>
  <c r="T67" i="7"/>
  <c r="E142" i="10" s="1"/>
  <c r="R58" i="7"/>
  <c r="S124" i="7"/>
  <c r="R85" i="7"/>
  <c r="T85" i="7" s="1"/>
  <c r="E162" i="10" s="1"/>
  <c r="AJ136" i="12"/>
  <c r="N309" i="6"/>
  <c r="O309" i="6" s="1"/>
  <c r="N302" i="6"/>
  <c r="O302" i="6" s="1"/>
  <c r="E347" i="6"/>
  <c r="N335" i="6"/>
  <c r="O335" i="6" s="1"/>
  <c r="N301" i="6"/>
  <c r="O301" i="6" s="1"/>
  <c r="J213" i="6"/>
  <c r="G96" i="10"/>
  <c r="N96" i="10" s="1"/>
  <c r="P84" i="7"/>
  <c r="R97" i="7"/>
  <c r="R84" i="7" s="1"/>
  <c r="R69" i="7"/>
  <c r="T69" i="7" s="1"/>
  <c r="E144" i="10" s="1"/>
  <c r="R124" i="7"/>
  <c r="P15" i="7"/>
  <c r="R28" i="7"/>
  <c r="R15" i="7" s="1"/>
  <c r="R59" i="7"/>
  <c r="T59" i="7" s="1"/>
  <c r="E134" i="10" s="1"/>
  <c r="R102" i="7"/>
  <c r="T102" i="7" s="1"/>
  <c r="E181" i="10" s="1"/>
  <c r="R66" i="7"/>
  <c r="T66" i="7" s="1"/>
  <c r="E141" i="10" s="1"/>
  <c r="R92" i="7"/>
  <c r="T92" i="7" s="1"/>
  <c r="E169" i="10" s="1"/>
  <c r="R93" i="7"/>
  <c r="T93" i="7" s="1"/>
  <c r="E170" i="10" s="1"/>
  <c r="E314" i="11"/>
  <c r="D314" i="11" s="1"/>
  <c r="F314" i="11" s="1"/>
  <c r="E310" i="11"/>
  <c r="D310" i="11" s="1"/>
  <c r="F310" i="11" s="1"/>
  <c r="E306" i="11"/>
  <c r="D306" i="11" s="1"/>
  <c r="F306" i="11" s="1"/>
  <c r="E302" i="11"/>
  <c r="D302" i="11" s="1"/>
  <c r="F302" i="11" s="1"/>
  <c r="E298" i="11"/>
  <c r="D298" i="11" s="1"/>
  <c r="F298" i="11" s="1"/>
  <c r="E309" i="11"/>
  <c r="D309" i="11" s="1"/>
  <c r="F309" i="11" s="1"/>
  <c r="E305" i="11"/>
  <c r="D305" i="11" s="1"/>
  <c r="F305" i="11" s="1"/>
  <c r="E301" i="11"/>
  <c r="D301" i="11" s="1"/>
  <c r="F301" i="11" s="1"/>
  <c r="E312" i="11"/>
  <c r="D312" i="11" s="1"/>
  <c r="F312" i="11" s="1"/>
  <c r="E303" i="11"/>
  <c r="D303" i="11" s="1"/>
  <c r="F303" i="11" s="1"/>
  <c r="E300" i="11"/>
  <c r="D300" i="11" s="1"/>
  <c r="F300" i="11" s="1"/>
  <c r="E311" i="11"/>
  <c r="D311" i="11" s="1"/>
  <c r="F311" i="11" s="1"/>
  <c r="E308" i="11"/>
  <c r="D308" i="11" s="1"/>
  <c r="F308" i="11" s="1"/>
  <c r="E299" i="11"/>
  <c r="D299" i="11" s="1"/>
  <c r="F299" i="11" s="1"/>
  <c r="E307" i="11"/>
  <c r="D307" i="11" s="1"/>
  <c r="F307" i="11" s="1"/>
  <c r="E304" i="11"/>
  <c r="D304" i="11" s="1"/>
  <c r="F304" i="11" s="1"/>
  <c r="F124" i="7"/>
  <c r="F121" i="7"/>
  <c r="F110" i="7"/>
  <c r="F116" i="7"/>
  <c r="F103" i="7"/>
  <c r="F97" i="7"/>
  <c r="F84" i="7" s="1"/>
  <c r="F88" i="7"/>
  <c r="F111" i="7"/>
  <c r="F102" i="7"/>
  <c r="F123" i="7"/>
  <c r="G122" i="7"/>
  <c r="F109" i="7"/>
  <c r="F95" i="7"/>
  <c r="F87" i="7"/>
  <c r="F120" i="7"/>
  <c r="F106" i="7"/>
  <c r="F98" i="7"/>
  <c r="G84" i="7" s="1"/>
  <c r="F89" i="7"/>
  <c r="F81" i="7"/>
  <c r="F69" i="7"/>
  <c r="F26" i="7"/>
  <c r="F18" i="7"/>
  <c r="F92" i="7"/>
  <c r="F126" i="7"/>
  <c r="F125" i="7"/>
  <c r="F122" i="7"/>
  <c r="F105" i="7"/>
  <c r="F90" i="7"/>
  <c r="F86" i="7"/>
  <c r="F67" i="7"/>
  <c r="F66" i="7"/>
  <c r="F56" i="7"/>
  <c r="G121" i="7"/>
  <c r="F112" i="7"/>
  <c r="F104" i="7"/>
  <c r="G82" i="7"/>
  <c r="F80" i="7"/>
  <c r="F65" i="7"/>
  <c r="G124" i="7"/>
  <c r="F119" i="7"/>
  <c r="F91" i="7"/>
  <c r="F83" i="7"/>
  <c r="F82" i="7"/>
  <c r="F68" i="7"/>
  <c r="F62" i="7"/>
  <c r="G60" i="7"/>
  <c r="F117" i="7"/>
  <c r="F85" i="7"/>
  <c r="F60" i="7"/>
  <c r="F17" i="7"/>
  <c r="F75" i="7"/>
  <c r="G61" i="7" s="1"/>
  <c r="F71" i="7"/>
  <c r="F29" i="7"/>
  <c r="G15" i="7" s="1"/>
  <c r="F28" i="7"/>
  <c r="F15" i="7" s="1"/>
  <c r="F16" i="7"/>
  <c r="F108" i="7"/>
  <c r="F72" i="7"/>
  <c r="F58" i="7"/>
  <c r="F22" i="7"/>
  <c r="F13" i="7"/>
  <c r="F64" i="7"/>
  <c r="F21" i="7"/>
  <c r="F10" i="7"/>
  <c r="G83" i="7"/>
  <c r="F24" i="7"/>
  <c r="F20" i="7"/>
  <c r="F12" i="7"/>
  <c r="F93" i="7"/>
  <c r="F107" i="7"/>
  <c r="F94" i="7"/>
  <c r="F23" i="7"/>
  <c r="F19" i="7"/>
  <c r="F70" i="7"/>
  <c r="F59" i="7"/>
  <c r="F74" i="7"/>
  <c r="F61" i="7" s="1"/>
  <c r="F118" i="7"/>
  <c r="F25" i="7"/>
  <c r="F14" i="7"/>
  <c r="F63" i="7"/>
  <c r="F11" i="7"/>
  <c r="F57" i="7"/>
  <c r="F79" i="7"/>
  <c r="N69" i="6"/>
  <c r="O69" i="6" s="1"/>
  <c r="R120" i="7"/>
  <c r="K213" i="6"/>
  <c r="E161" i="14"/>
  <c r="E183" i="14" s="1"/>
  <c r="E72" i="15" s="1"/>
  <c r="F71" i="14"/>
  <c r="F93" i="14" s="1"/>
  <c r="F50" i="15" s="1"/>
  <c r="R72" i="7"/>
  <c r="T72" i="7" s="1"/>
  <c r="E147" i="10" s="1"/>
  <c r="R10" i="7"/>
  <c r="T10" i="7" s="1"/>
  <c r="E81" i="10" s="1"/>
  <c r="R62" i="7"/>
  <c r="T62" i="7" s="1"/>
  <c r="E137" i="10" s="1"/>
  <c r="R108" i="7"/>
  <c r="T108" i="7" s="1"/>
  <c r="E187" i="10" s="1"/>
  <c r="R117" i="7"/>
  <c r="T117" i="7" s="1"/>
  <c r="E201" i="10" s="1"/>
  <c r="R75" i="7"/>
  <c r="S61" i="7" s="1"/>
  <c r="Q61" i="7"/>
  <c r="R109" i="7"/>
  <c r="T109" i="7" s="1"/>
  <c r="E188" i="10" s="1"/>
  <c r="R103" i="7"/>
  <c r="T103" i="7" s="1"/>
  <c r="E182" i="10" s="1"/>
  <c r="N307" i="6"/>
  <c r="O307" i="6" s="1"/>
  <c r="O175" i="10"/>
  <c r="O174" i="10"/>
  <c r="O303" i="6"/>
  <c r="N303" i="6"/>
  <c r="N65" i="6"/>
  <c r="O65" i="6" s="1"/>
  <c r="G91" i="10"/>
  <c r="N91" i="10" s="1"/>
  <c r="R87" i="7"/>
  <c r="T87" i="7" s="1"/>
  <c r="E164" i="10" s="1"/>
  <c r="R22" i="7"/>
  <c r="T22" i="7" s="1"/>
  <c r="E93" i="10" s="1"/>
  <c r="R68" i="7"/>
  <c r="T68" i="7" s="1"/>
  <c r="E143" i="10" s="1"/>
  <c r="R122" i="7"/>
  <c r="R83" i="7"/>
  <c r="R86" i="7"/>
  <c r="T86" i="7"/>
  <c r="E163" i="10" s="1"/>
  <c r="R110" i="7"/>
  <c r="R116" i="7"/>
  <c r="T116" i="7" s="1"/>
  <c r="E200" i="10" s="1"/>
  <c r="G97" i="10"/>
  <c r="N97" i="10" s="1"/>
  <c r="G87" i="10"/>
  <c r="N87" i="10" s="1"/>
  <c r="N308" i="6"/>
  <c r="O308" i="6" s="1"/>
  <c r="N70" i="6"/>
  <c r="O70" i="6" s="1"/>
  <c r="N61" i="6"/>
  <c r="O61" i="6" s="1"/>
  <c r="E86" i="12" l="1"/>
  <c r="E85" i="12"/>
  <c r="G76" i="12" s="1"/>
  <c r="AG144" i="12"/>
  <c r="AG143" i="12"/>
  <c r="AI131" i="12" s="1"/>
  <c r="E29" i="12"/>
  <c r="F144" i="12"/>
  <c r="F143" i="12"/>
  <c r="Z144" i="12"/>
  <c r="Z143" i="12"/>
  <c r="AN144" i="12"/>
  <c r="AN143" i="12"/>
  <c r="AP132" i="12" s="1"/>
  <c r="E144" i="12"/>
  <c r="E143" i="12"/>
  <c r="E115" i="12"/>
  <c r="E114" i="12"/>
  <c r="G100" i="12" s="1"/>
  <c r="AH144" i="12"/>
  <c r="AH143" i="12"/>
  <c r="S144" i="12"/>
  <c r="S143" i="12"/>
  <c r="U126" i="12" s="1"/>
  <c r="F29" i="12"/>
  <c r="F28" i="12"/>
  <c r="K120" i="7"/>
  <c r="N111" i="10"/>
  <c r="M111" i="10"/>
  <c r="H46" i="15"/>
  <c r="F46" i="15"/>
  <c r="G46" i="15"/>
  <c r="F44" i="15"/>
  <c r="H44" i="15"/>
  <c r="G44" i="15"/>
  <c r="G37" i="15"/>
  <c r="H37" i="15"/>
  <c r="F37" i="15"/>
  <c r="G39" i="15"/>
  <c r="F39" i="15"/>
  <c r="H39" i="15"/>
  <c r="F48" i="15"/>
  <c r="H48" i="15"/>
  <c r="G48" i="15"/>
  <c r="H42" i="15"/>
  <c r="F42" i="15"/>
  <c r="G42" i="15"/>
  <c r="G49" i="15"/>
  <c r="H49" i="15"/>
  <c r="F49" i="15"/>
  <c r="F36" i="15"/>
  <c r="G36" i="15"/>
  <c r="H36" i="15"/>
  <c r="G35" i="15"/>
  <c r="F35" i="15"/>
  <c r="H35" i="15"/>
  <c r="F40" i="15"/>
  <c r="G40" i="15"/>
  <c r="H40" i="15"/>
  <c r="H38" i="15"/>
  <c r="F38" i="15"/>
  <c r="G38" i="15"/>
  <c r="G45" i="15"/>
  <c r="F45" i="15"/>
  <c r="H45" i="15"/>
  <c r="F47" i="15"/>
  <c r="G47" i="15"/>
  <c r="H47" i="15"/>
  <c r="E36" i="15"/>
  <c r="H33" i="15"/>
  <c r="F33" i="15"/>
  <c r="G33" i="15"/>
  <c r="H34" i="15"/>
  <c r="F34" i="15"/>
  <c r="G34" i="15"/>
  <c r="G41" i="15"/>
  <c r="H41" i="15"/>
  <c r="F41" i="15"/>
  <c r="F43" i="15"/>
  <c r="G43" i="15"/>
  <c r="H43" i="15"/>
  <c r="E38" i="15"/>
  <c r="E39" i="15"/>
  <c r="H95" i="12"/>
  <c r="K110" i="7"/>
  <c r="K118" i="7"/>
  <c r="G11" i="12"/>
  <c r="I105" i="12"/>
  <c r="G105" i="12"/>
  <c r="I99" i="12"/>
  <c r="I112" i="12"/>
  <c r="I70" i="12"/>
  <c r="I76" i="12"/>
  <c r="I66" i="12"/>
  <c r="I73" i="12"/>
  <c r="I102" i="12"/>
  <c r="I100" i="12"/>
  <c r="I103" i="12"/>
  <c r="I96" i="12"/>
  <c r="I65" i="12"/>
  <c r="I78" i="12"/>
  <c r="I67" i="12"/>
  <c r="I74" i="12"/>
  <c r="I106" i="12"/>
  <c r="I97" i="12"/>
  <c r="I95" i="12"/>
  <c r="I107" i="12"/>
  <c r="I68" i="12"/>
  <c r="I83" i="12"/>
  <c r="I81" i="12"/>
  <c r="I111" i="12"/>
  <c r="I110" i="12"/>
  <c r="I94" i="12"/>
  <c r="I104" i="12"/>
  <c r="I71" i="12"/>
  <c r="I77" i="12"/>
  <c r="I75" i="12"/>
  <c r="I82" i="12"/>
  <c r="K81" i="7"/>
  <c r="K126" i="7"/>
  <c r="W135" i="12"/>
  <c r="W141" i="12"/>
  <c r="W128" i="12"/>
  <c r="AR139" i="12"/>
  <c r="AR123" i="12"/>
  <c r="AR141" i="12"/>
  <c r="AP141" i="12"/>
  <c r="AS141" i="12" s="1"/>
  <c r="M25" i="13" s="1"/>
  <c r="AR136" i="12"/>
  <c r="AP136" i="12"/>
  <c r="AS136" i="12" s="1"/>
  <c r="M20" i="13" s="1"/>
  <c r="AD135" i="12"/>
  <c r="AD133" i="12"/>
  <c r="AD140" i="12"/>
  <c r="AK134" i="12"/>
  <c r="AI134" i="12"/>
  <c r="AL134" i="12" s="1"/>
  <c r="L18" i="13" s="1"/>
  <c r="AK126" i="12"/>
  <c r="AI126" i="12"/>
  <c r="AL126" i="12" s="1"/>
  <c r="L10" i="13" s="1"/>
  <c r="W123" i="12"/>
  <c r="W133" i="12"/>
  <c r="W136" i="12"/>
  <c r="W124" i="12"/>
  <c r="AR133" i="12"/>
  <c r="AR140" i="12"/>
  <c r="AR129" i="12"/>
  <c r="AR125" i="12"/>
  <c r="AP125" i="12"/>
  <c r="AS125" i="12" s="1"/>
  <c r="M9" i="13" s="1"/>
  <c r="AD134" i="12"/>
  <c r="AD124" i="12"/>
  <c r="AD131" i="12"/>
  <c r="AD129" i="12"/>
  <c r="I138" i="12"/>
  <c r="AK141" i="12"/>
  <c r="AI141" i="12"/>
  <c r="AL141" i="12" s="1"/>
  <c r="L25" i="13" s="1"/>
  <c r="AK136" i="12"/>
  <c r="AI136" i="12"/>
  <c r="AL136" i="12" s="1"/>
  <c r="L20" i="13" s="1"/>
  <c r="W129" i="12"/>
  <c r="W139" i="12"/>
  <c r="W134" i="12"/>
  <c r="W132" i="12"/>
  <c r="AR124" i="12"/>
  <c r="AR131" i="12"/>
  <c r="AR128" i="12"/>
  <c r="AR135" i="12"/>
  <c r="AP135" i="12"/>
  <c r="AS135" i="12" s="1"/>
  <c r="M19" i="13" s="1"/>
  <c r="AD136" i="12"/>
  <c r="AD125" i="12"/>
  <c r="AD132" i="12"/>
  <c r="AD128" i="12"/>
  <c r="AB141" i="12"/>
  <c r="AK125" i="12"/>
  <c r="AI125" i="12"/>
  <c r="AL125" i="12" s="1"/>
  <c r="L9" i="13" s="1"/>
  <c r="W126" i="12"/>
  <c r="W140" i="12"/>
  <c r="W125" i="12"/>
  <c r="AR132" i="12"/>
  <c r="AR134" i="12"/>
  <c r="AP134" i="12"/>
  <c r="AS134" i="12" s="1"/>
  <c r="M18" i="13" s="1"/>
  <c r="AR126" i="12"/>
  <c r="AP126" i="12"/>
  <c r="AS126" i="12" s="1"/>
  <c r="M10" i="13" s="1"/>
  <c r="AD126" i="12"/>
  <c r="AD141" i="12"/>
  <c r="AD139" i="12"/>
  <c r="AD123" i="12"/>
  <c r="AK135" i="12"/>
  <c r="AI135" i="12"/>
  <c r="AL135" i="12" s="1"/>
  <c r="L19" i="13" s="1"/>
  <c r="M97" i="10"/>
  <c r="M91" i="10"/>
  <c r="M89" i="10"/>
  <c r="M94" i="10"/>
  <c r="M96" i="10"/>
  <c r="M93" i="10"/>
  <c r="M92" i="10"/>
  <c r="M85" i="10"/>
  <c r="M95" i="10"/>
  <c r="M83" i="10"/>
  <c r="M87" i="10"/>
  <c r="M90" i="10"/>
  <c r="M84" i="10"/>
  <c r="M88" i="10"/>
  <c r="N238" i="6"/>
  <c r="O238" i="6" s="1"/>
  <c r="Q238" i="6"/>
  <c r="R238" i="6" s="1"/>
  <c r="Q347" i="6"/>
  <c r="R347" i="6" s="1"/>
  <c r="F393" i="11" s="1"/>
  <c r="I140" i="12"/>
  <c r="T12" i="7"/>
  <c r="E83" i="10" s="1"/>
  <c r="Q313" i="6"/>
  <c r="R313" i="6" s="1"/>
  <c r="E166" i="11"/>
  <c r="D166" i="11" s="1"/>
  <c r="E170" i="11"/>
  <c r="D170" i="11" s="1"/>
  <c r="E174" i="11"/>
  <c r="D174" i="11" s="1"/>
  <c r="E178" i="11"/>
  <c r="D178" i="11" s="1"/>
  <c r="E167" i="11"/>
  <c r="D167" i="11" s="1"/>
  <c r="E171" i="11"/>
  <c r="D171" i="11" s="1"/>
  <c r="E175" i="11"/>
  <c r="D175" i="11" s="1"/>
  <c r="E179" i="11"/>
  <c r="D179" i="11" s="1"/>
  <c r="E168" i="11"/>
  <c r="D168" i="11" s="1"/>
  <c r="E172" i="11"/>
  <c r="D172" i="11" s="1"/>
  <c r="E176" i="11"/>
  <c r="D176" i="11" s="1"/>
  <c r="E180" i="11"/>
  <c r="D180" i="11" s="1"/>
  <c r="E165" i="11"/>
  <c r="D165" i="11" s="1"/>
  <c r="E169" i="11"/>
  <c r="D169" i="11" s="1"/>
  <c r="E173" i="11"/>
  <c r="D173" i="11" s="1"/>
  <c r="E177" i="11"/>
  <c r="D177" i="11" s="1"/>
  <c r="E164" i="11"/>
  <c r="D164" i="11" s="1"/>
  <c r="Q73" i="6"/>
  <c r="J42" i="7"/>
  <c r="I135" i="12"/>
  <c r="T42" i="7"/>
  <c r="E115" i="10" s="1"/>
  <c r="T25" i="7"/>
  <c r="E96" i="10" s="1"/>
  <c r="I126" i="12"/>
  <c r="R38" i="7"/>
  <c r="T38" i="7" s="1"/>
  <c r="E111" i="10" s="1"/>
  <c r="K105" i="7"/>
  <c r="K58" i="7"/>
  <c r="K42" i="7"/>
  <c r="J48" i="7"/>
  <c r="L48" i="7" s="1"/>
  <c r="D121" i="10" s="1"/>
  <c r="L121" i="10" s="1"/>
  <c r="J43" i="7"/>
  <c r="L43" i="7" s="1"/>
  <c r="J45" i="7"/>
  <c r="L45" i="7" s="1"/>
  <c r="L40" i="7"/>
  <c r="D113" i="10" s="1"/>
  <c r="L113" i="10" s="1"/>
  <c r="J39" i="7"/>
  <c r="L39" i="7"/>
  <c r="D112" i="10" s="1"/>
  <c r="L112" i="10" s="1"/>
  <c r="J41" i="7"/>
  <c r="L41" i="7" s="1"/>
  <c r="J44" i="7"/>
  <c r="L44" i="7" s="1"/>
  <c r="J37" i="7"/>
  <c r="L37" i="7" s="1"/>
  <c r="J35" i="7"/>
  <c r="L35" i="7" s="1"/>
  <c r="L34" i="7"/>
  <c r="D107" i="10" s="1"/>
  <c r="L107" i="10" s="1"/>
  <c r="J34" i="7"/>
  <c r="L36" i="7"/>
  <c r="D109" i="10" s="1"/>
  <c r="L109" i="10" s="1"/>
  <c r="J36" i="7"/>
  <c r="L33" i="7"/>
  <c r="D106" i="10" s="1"/>
  <c r="L106" i="10" s="1"/>
  <c r="L51" i="7"/>
  <c r="J51" i="7"/>
  <c r="L47" i="7"/>
  <c r="D120" i="10" s="1"/>
  <c r="L120" i="10" s="1"/>
  <c r="J47" i="7"/>
  <c r="J49" i="7"/>
  <c r="L49" i="7" s="1"/>
  <c r="K38" i="7"/>
  <c r="J52" i="7"/>
  <c r="L52" i="7"/>
  <c r="J46" i="7"/>
  <c r="L46" i="7" s="1"/>
  <c r="K12" i="7"/>
  <c r="K13" i="7"/>
  <c r="T14" i="7"/>
  <c r="E85" i="10" s="1"/>
  <c r="T13" i="7"/>
  <c r="E84" i="10" s="1"/>
  <c r="AK124" i="12"/>
  <c r="AQ131" i="12"/>
  <c r="AQ133" i="12"/>
  <c r="AQ124" i="12"/>
  <c r="AQ139" i="12"/>
  <c r="AQ132" i="12"/>
  <c r="AQ140" i="12"/>
  <c r="AQ130" i="12"/>
  <c r="AQ123" i="12"/>
  <c r="AQ129" i="12"/>
  <c r="AQ138" i="12"/>
  <c r="I136" i="12"/>
  <c r="AK131" i="12"/>
  <c r="K60" i="7"/>
  <c r="I130" i="12"/>
  <c r="T105" i="7"/>
  <c r="E184" i="10" s="1"/>
  <c r="T82" i="7"/>
  <c r="E159" i="10" s="1"/>
  <c r="I132" i="12"/>
  <c r="F49" i="12"/>
  <c r="F53" i="12"/>
  <c r="F44" i="12"/>
  <c r="F47" i="12"/>
  <c r="F41" i="12"/>
  <c r="F38" i="12"/>
  <c r="F39" i="12"/>
  <c r="F43" i="12"/>
  <c r="F48" i="12"/>
  <c r="I141" i="12"/>
  <c r="I134" i="12"/>
  <c r="I128" i="12"/>
  <c r="AK130" i="12"/>
  <c r="I131" i="12"/>
  <c r="I139" i="12"/>
  <c r="I125" i="12"/>
  <c r="E153" i="11"/>
  <c r="D153" i="11" s="1"/>
  <c r="F153" i="11" s="1"/>
  <c r="I133" i="12"/>
  <c r="F42" i="12"/>
  <c r="I123" i="12"/>
  <c r="E156" i="11"/>
  <c r="D156" i="11" s="1"/>
  <c r="F156" i="11" s="1"/>
  <c r="I124" i="12"/>
  <c r="E143" i="11"/>
  <c r="D143" i="11" s="1"/>
  <c r="F143" i="11" s="1"/>
  <c r="AK140" i="12"/>
  <c r="I129" i="12"/>
  <c r="E157" i="11"/>
  <c r="D157" i="11" s="1"/>
  <c r="F157" i="11" s="1"/>
  <c r="E154" i="11"/>
  <c r="D154" i="11" s="1"/>
  <c r="F154" i="11" s="1"/>
  <c r="E147" i="11"/>
  <c r="D147" i="11" s="1"/>
  <c r="F147" i="11" s="1"/>
  <c r="E145" i="11"/>
  <c r="D145" i="11" s="1"/>
  <c r="F145" i="11" s="1"/>
  <c r="E158" i="11"/>
  <c r="D158" i="11" s="1"/>
  <c r="F158" i="11" s="1"/>
  <c r="E146" i="11"/>
  <c r="D146" i="11" s="1"/>
  <c r="F146" i="11" s="1"/>
  <c r="E150" i="11"/>
  <c r="D150" i="11" s="1"/>
  <c r="F150" i="11" s="1"/>
  <c r="E152" i="11"/>
  <c r="D152" i="11" s="1"/>
  <c r="F152" i="11" s="1"/>
  <c r="E155" i="11"/>
  <c r="D155" i="11" s="1"/>
  <c r="F155" i="11" s="1"/>
  <c r="E149" i="11"/>
  <c r="D149" i="11" s="1"/>
  <c r="F149" i="11" s="1"/>
  <c r="E148" i="11"/>
  <c r="D148" i="11" s="1"/>
  <c r="F148" i="11" s="1"/>
  <c r="E142" i="11"/>
  <c r="D142" i="11" s="1"/>
  <c r="F142" i="11" s="1"/>
  <c r="E144" i="11"/>
  <c r="D144" i="11" s="1"/>
  <c r="F144" i="11" s="1"/>
  <c r="E151" i="11"/>
  <c r="D151" i="11" s="1"/>
  <c r="F151" i="11" s="1"/>
  <c r="E159" i="11"/>
  <c r="E33" i="15"/>
  <c r="H13" i="12"/>
  <c r="O100" i="10"/>
  <c r="O193" i="10"/>
  <c r="O194" i="10"/>
  <c r="O99" i="10"/>
  <c r="T60" i="7"/>
  <c r="E135" i="10" s="1"/>
  <c r="H66" i="12"/>
  <c r="H70" i="12"/>
  <c r="H76" i="12"/>
  <c r="T58" i="7"/>
  <c r="E133" i="10" s="1"/>
  <c r="F51" i="12"/>
  <c r="F46" i="12"/>
  <c r="AK133" i="12"/>
  <c r="AK128" i="12"/>
  <c r="T122" i="7"/>
  <c r="E206" i="10" s="1"/>
  <c r="T81" i="7"/>
  <c r="E158" i="10" s="1"/>
  <c r="K83" i="7"/>
  <c r="T118" i="7"/>
  <c r="E202" i="10" s="1"/>
  <c r="T120" i="7"/>
  <c r="E204" i="10" s="1"/>
  <c r="T83" i="7"/>
  <c r="E160" i="10" s="1"/>
  <c r="S15" i="7"/>
  <c r="T29" i="7"/>
  <c r="H68" i="12"/>
  <c r="AK129" i="12"/>
  <c r="H77" i="12"/>
  <c r="H71" i="12"/>
  <c r="H82" i="12"/>
  <c r="H72" i="12"/>
  <c r="H67" i="12"/>
  <c r="H78" i="12"/>
  <c r="H65" i="12"/>
  <c r="H73" i="12"/>
  <c r="H81" i="12"/>
  <c r="F54" i="12"/>
  <c r="H74" i="12"/>
  <c r="F45" i="12"/>
  <c r="F52" i="12"/>
  <c r="F36" i="12"/>
  <c r="H83" i="12"/>
  <c r="AC125" i="12"/>
  <c r="H80" i="12"/>
  <c r="AC135" i="12"/>
  <c r="AC130" i="12"/>
  <c r="AC141" i="12"/>
  <c r="H99" i="12"/>
  <c r="AC133" i="12"/>
  <c r="H103" i="12"/>
  <c r="AQ128" i="12"/>
  <c r="H94" i="12"/>
  <c r="AC134" i="12"/>
  <c r="AC128" i="12"/>
  <c r="H104" i="12"/>
  <c r="AC129" i="12"/>
  <c r="H112" i="12"/>
  <c r="AC136" i="12"/>
  <c r="AJ128" i="12"/>
  <c r="T126" i="7"/>
  <c r="E210" i="10" s="1"/>
  <c r="T110" i="7"/>
  <c r="E189" i="10" s="1"/>
  <c r="T121" i="7"/>
  <c r="E205" i="10" s="1"/>
  <c r="T124" i="7"/>
  <c r="E208" i="10" s="1"/>
  <c r="T75" i="7"/>
  <c r="N347" i="6"/>
  <c r="O347" i="6" s="1"/>
  <c r="E393" i="11" s="1"/>
  <c r="AK123" i="12"/>
  <c r="J72" i="7"/>
  <c r="L72" i="7" s="1"/>
  <c r="D147" i="10" s="1"/>
  <c r="L147" i="10" s="1"/>
  <c r="J22" i="7"/>
  <c r="L22" i="7" s="1"/>
  <c r="D93" i="10" s="1"/>
  <c r="L93" i="10" s="1"/>
  <c r="J19" i="7"/>
  <c r="L19" i="7" s="1"/>
  <c r="D90" i="10" s="1"/>
  <c r="L90" i="10" s="1"/>
  <c r="J11" i="7"/>
  <c r="L11" i="7" s="1"/>
  <c r="D82" i="10" s="1"/>
  <c r="L82" i="10" s="1"/>
  <c r="J87" i="7"/>
  <c r="L87" i="7" s="1"/>
  <c r="D164" i="10" s="1"/>
  <c r="L164" i="10" s="1"/>
  <c r="J79" i="7"/>
  <c r="L79" i="7" s="1"/>
  <c r="D156" i="10" s="1"/>
  <c r="L156" i="10" s="1"/>
  <c r="J71" i="7"/>
  <c r="L71" i="7" s="1"/>
  <c r="D146" i="10" s="1"/>
  <c r="L146" i="10" s="1"/>
  <c r="J106" i="7"/>
  <c r="L106" i="7" s="1"/>
  <c r="D185" i="10" s="1"/>
  <c r="L185" i="10" s="1"/>
  <c r="K124" i="7"/>
  <c r="J126" i="7"/>
  <c r="H110" i="12"/>
  <c r="AC140" i="12"/>
  <c r="H105" i="12"/>
  <c r="N26" i="15"/>
  <c r="N25" i="15"/>
  <c r="AC126" i="12"/>
  <c r="N73" i="6"/>
  <c r="O73" i="6" s="1"/>
  <c r="E181" i="11" s="1"/>
  <c r="J80" i="7"/>
  <c r="L80" i="7" s="1"/>
  <c r="D157" i="10" s="1"/>
  <c r="L157" i="10" s="1"/>
  <c r="J13" i="7"/>
  <c r="J62" i="7"/>
  <c r="L62" i="7" s="1"/>
  <c r="D137" i="10" s="1"/>
  <c r="L137" i="10" s="1"/>
  <c r="J24" i="7"/>
  <c r="L24" i="7" s="1"/>
  <c r="D95" i="10" s="1"/>
  <c r="L95" i="10" s="1"/>
  <c r="J14" i="7"/>
  <c r="L14" i="7" s="1"/>
  <c r="D85" i="10" s="1"/>
  <c r="J88" i="7"/>
  <c r="L88" i="7" s="1"/>
  <c r="D165" i="10" s="1"/>
  <c r="L165" i="10" s="1"/>
  <c r="J82" i="7"/>
  <c r="J83" i="7"/>
  <c r="J107" i="7"/>
  <c r="L107" i="7" s="1"/>
  <c r="D186" i="10" s="1"/>
  <c r="L186" i="10" s="1"/>
  <c r="J90" i="7"/>
  <c r="L90" i="7" s="1"/>
  <c r="D167" i="10" s="1"/>
  <c r="L167" i="10" s="1"/>
  <c r="H111" i="12"/>
  <c r="N313" i="6"/>
  <c r="O313" i="6" s="1"/>
  <c r="H101" i="12"/>
  <c r="L16" i="7"/>
  <c r="D87" i="10" s="1"/>
  <c r="L87" i="10" s="1"/>
  <c r="J16" i="7"/>
  <c r="J58" i="7"/>
  <c r="J68" i="7"/>
  <c r="L68" i="7" s="1"/>
  <c r="D143" i="10" s="1"/>
  <c r="L143" i="10" s="1"/>
  <c r="J56" i="7"/>
  <c r="L56" i="7" s="1"/>
  <c r="D131" i="10" s="1"/>
  <c r="L131" i="10" s="1"/>
  <c r="J25" i="7"/>
  <c r="L25" i="7" s="1"/>
  <c r="D96" i="10" s="1"/>
  <c r="J119" i="7"/>
  <c r="L119" i="7" s="1"/>
  <c r="D203" i="10" s="1"/>
  <c r="L203" i="10" s="1"/>
  <c r="J105" i="7"/>
  <c r="J91" i="7"/>
  <c r="L91" i="7" s="1"/>
  <c r="D168" i="10" s="1"/>
  <c r="L168" i="10" s="1"/>
  <c r="J120" i="7"/>
  <c r="L120" i="7" s="1"/>
  <c r="D204" i="10" s="1"/>
  <c r="L102" i="7"/>
  <c r="D181" i="10" s="1"/>
  <c r="L181" i="10" s="1"/>
  <c r="J102" i="7"/>
  <c r="AC138" i="12"/>
  <c r="J65" i="7"/>
  <c r="L65" i="7" s="1"/>
  <c r="D140" i="10" s="1"/>
  <c r="L140" i="10" s="1"/>
  <c r="J21" i="7"/>
  <c r="L21" i="7" s="1"/>
  <c r="D92" i="10" s="1"/>
  <c r="L92" i="10" s="1"/>
  <c r="J97" i="7"/>
  <c r="J84" i="7" s="1"/>
  <c r="H84" i="7"/>
  <c r="J57" i="7"/>
  <c r="L57" i="7" s="1"/>
  <c r="D132" i="10" s="1"/>
  <c r="L132" i="10" s="1"/>
  <c r="J26" i="7"/>
  <c r="L26" i="7" s="1"/>
  <c r="D97" i="10" s="1"/>
  <c r="L97" i="10" s="1"/>
  <c r="J74" i="7"/>
  <c r="J61" i="7" s="1"/>
  <c r="H61" i="7"/>
  <c r="J116" i="7"/>
  <c r="L116" i="7" s="1"/>
  <c r="D200" i="10" s="1"/>
  <c r="L200" i="10" s="1"/>
  <c r="J117" i="7"/>
  <c r="L117" i="7" s="1"/>
  <c r="D201" i="10" s="1"/>
  <c r="L201" i="10" s="1"/>
  <c r="J121" i="7"/>
  <c r="H109" i="12"/>
  <c r="AK139" i="12"/>
  <c r="T28" i="7"/>
  <c r="AC132" i="12"/>
  <c r="H100" i="12"/>
  <c r="S84" i="7"/>
  <c r="T98" i="7"/>
  <c r="H107" i="12"/>
  <c r="AC123" i="12"/>
  <c r="AC124" i="12"/>
  <c r="J17" i="7"/>
  <c r="L17" i="7" s="1"/>
  <c r="D88" i="10" s="1"/>
  <c r="L88" i="10" s="1"/>
  <c r="H15" i="7"/>
  <c r="J28" i="7"/>
  <c r="J15" i="7" s="1"/>
  <c r="J23" i="7"/>
  <c r="L23" i="7" s="1"/>
  <c r="D94" i="10" s="1"/>
  <c r="L94" i="10" s="1"/>
  <c r="J110" i="7"/>
  <c r="J66" i="7"/>
  <c r="L66" i="7" s="1"/>
  <c r="D141" i="10" s="1"/>
  <c r="L141" i="10" s="1"/>
  <c r="J75" i="7"/>
  <c r="K61" i="7" s="1"/>
  <c r="I61" i="7"/>
  <c r="J93" i="7"/>
  <c r="L93" i="7" s="1"/>
  <c r="D170" i="10" s="1"/>
  <c r="L170" i="10" s="1"/>
  <c r="J118" i="7"/>
  <c r="J124" i="7"/>
  <c r="J111" i="7"/>
  <c r="L111" i="7" s="1"/>
  <c r="D190" i="10" s="1"/>
  <c r="L190" i="10" s="1"/>
  <c r="H102" i="12"/>
  <c r="AC139" i="12"/>
  <c r="H97" i="12"/>
  <c r="J60" i="7"/>
  <c r="L67" i="7"/>
  <c r="D142" i="10" s="1"/>
  <c r="L142" i="10" s="1"/>
  <c r="J67" i="7"/>
  <c r="J59" i="7"/>
  <c r="L59" i="7" s="1"/>
  <c r="D134" i="10" s="1"/>
  <c r="L134" i="10" s="1"/>
  <c r="J69" i="7"/>
  <c r="L69" i="7" s="1"/>
  <c r="D144" i="10" s="1"/>
  <c r="L144" i="10" s="1"/>
  <c r="K122" i="7"/>
  <c r="J95" i="7"/>
  <c r="L95" i="7" s="1"/>
  <c r="D172" i="10" s="1"/>
  <c r="L172" i="10" s="1"/>
  <c r="J20" i="7"/>
  <c r="L20" i="7" s="1"/>
  <c r="D91" i="10" s="1"/>
  <c r="L91" i="10" s="1"/>
  <c r="J81" i="7"/>
  <c r="J108" i="7"/>
  <c r="L108" i="7" s="1"/>
  <c r="D187" i="10" s="1"/>
  <c r="L187" i="10" s="1"/>
  <c r="J104" i="7"/>
  <c r="L104" i="7" s="1"/>
  <c r="D183" i="10" s="1"/>
  <c r="L183" i="10" s="1"/>
  <c r="AC131" i="12"/>
  <c r="H106" i="12"/>
  <c r="K82" i="7"/>
  <c r="J10" i="7"/>
  <c r="L10" i="7" s="1"/>
  <c r="D81" i="10" s="1"/>
  <c r="L81" i="10" s="1"/>
  <c r="J70" i="7"/>
  <c r="L70" i="7" s="1"/>
  <c r="D145" i="10" s="1"/>
  <c r="L145" i="10" s="1"/>
  <c r="J94" i="7"/>
  <c r="L94" i="7" s="1"/>
  <c r="D171" i="10" s="1"/>
  <c r="L171" i="10" s="1"/>
  <c r="J85" i="7"/>
  <c r="L85" i="7" s="1"/>
  <c r="D162" i="10" s="1"/>
  <c r="L162" i="10" s="1"/>
  <c r="J103" i="7"/>
  <c r="L103" i="7" s="1"/>
  <c r="D182" i="10" s="1"/>
  <c r="L182" i="10" s="1"/>
  <c r="L29" i="7"/>
  <c r="J29" i="7"/>
  <c r="K15" i="7" s="1"/>
  <c r="I15" i="7"/>
  <c r="J89" i="7"/>
  <c r="L89" i="7" s="1"/>
  <c r="D166" i="10" s="1"/>
  <c r="L166" i="10" s="1"/>
  <c r="K121" i="7"/>
  <c r="J112" i="7"/>
  <c r="L112" i="7" s="1"/>
  <c r="D191" i="10" s="1"/>
  <c r="L191" i="10" s="1"/>
  <c r="T74" i="7"/>
  <c r="AK132" i="12"/>
  <c r="AK138" i="12"/>
  <c r="T97" i="7"/>
  <c r="E389" i="11"/>
  <c r="D389" i="11" s="1"/>
  <c r="F389" i="11" s="1"/>
  <c r="E385" i="11"/>
  <c r="D385" i="11" s="1"/>
  <c r="F385" i="11" s="1"/>
  <c r="E392" i="11"/>
  <c r="D392" i="11" s="1"/>
  <c r="F392" i="11" s="1"/>
  <c r="E388" i="11"/>
  <c r="D388" i="11" s="1"/>
  <c r="F388" i="11" s="1"/>
  <c r="E384" i="11"/>
  <c r="D384" i="11" s="1"/>
  <c r="F384" i="11" s="1"/>
  <c r="E387" i="11"/>
  <c r="D387" i="11" s="1"/>
  <c r="F387" i="11" s="1"/>
  <c r="E386" i="11"/>
  <c r="D386" i="11" s="1"/>
  <c r="F386" i="11" s="1"/>
  <c r="E383" i="11"/>
  <c r="D383" i="11" s="1"/>
  <c r="F383" i="11" s="1"/>
  <c r="E391" i="11"/>
  <c r="D391" i="11" s="1"/>
  <c r="F391" i="11" s="1"/>
  <c r="E390" i="11"/>
  <c r="D390" i="11" s="1"/>
  <c r="F390" i="11" s="1"/>
  <c r="H96" i="12"/>
  <c r="J109" i="7"/>
  <c r="L109" i="7" s="1"/>
  <c r="D188" i="10" s="1"/>
  <c r="L188" i="10" s="1"/>
  <c r="J18" i="7"/>
  <c r="L18" i="7" s="1"/>
  <c r="D89" i="10" s="1"/>
  <c r="L89" i="10" s="1"/>
  <c r="J12" i="7"/>
  <c r="J92" i="7"/>
  <c r="L92" i="7" s="1"/>
  <c r="D169" i="10" s="1"/>
  <c r="L169" i="10" s="1"/>
  <c r="J125" i="7"/>
  <c r="L125" i="7"/>
  <c r="D209" i="10" s="1"/>
  <c r="L209" i="10" s="1"/>
  <c r="L86" i="7"/>
  <c r="D163" i="10" s="1"/>
  <c r="L163" i="10" s="1"/>
  <c r="J86" i="7"/>
  <c r="J64" i="7"/>
  <c r="L64" i="7" s="1"/>
  <c r="D139" i="10" s="1"/>
  <c r="L139" i="10" s="1"/>
  <c r="J63" i="7"/>
  <c r="L63" i="7" s="1"/>
  <c r="D138" i="10" s="1"/>
  <c r="L138" i="10" s="1"/>
  <c r="J98" i="7"/>
  <c r="K84" i="7" s="1"/>
  <c r="I84" i="7"/>
  <c r="J122" i="7"/>
  <c r="J123" i="7"/>
  <c r="L123" i="7" s="1"/>
  <c r="D207" i="10" s="1"/>
  <c r="L207" i="10" s="1"/>
  <c r="G103" i="12" l="1"/>
  <c r="G112" i="12"/>
  <c r="G111" i="12"/>
  <c r="G106" i="12"/>
  <c r="G94" i="12"/>
  <c r="J94" i="12" s="1"/>
  <c r="G7" i="13" s="1"/>
  <c r="J105" i="12"/>
  <c r="G18" i="13" s="1"/>
  <c r="J103" i="12"/>
  <c r="G16" i="13" s="1"/>
  <c r="G104" i="12"/>
  <c r="J104" i="12" s="1"/>
  <c r="G17" i="13" s="1"/>
  <c r="G110" i="12"/>
  <c r="G95" i="12"/>
  <c r="J95" i="12" s="1"/>
  <c r="G8" i="13" s="1"/>
  <c r="J112" i="12"/>
  <c r="G25" i="13" s="1"/>
  <c r="G102" i="12"/>
  <c r="J102" i="12" s="1"/>
  <c r="G15" i="13" s="1"/>
  <c r="G99" i="12"/>
  <c r="J99" i="12" s="1"/>
  <c r="G12" i="13" s="1"/>
  <c r="G107" i="12"/>
  <c r="J107" i="12" s="1"/>
  <c r="G20" i="13" s="1"/>
  <c r="G97" i="12"/>
  <c r="J97" i="12" s="1"/>
  <c r="G10" i="13" s="1"/>
  <c r="G96" i="12"/>
  <c r="J96" i="12" s="1"/>
  <c r="G9" i="13" s="1"/>
  <c r="G101" i="12"/>
  <c r="G109" i="12"/>
  <c r="L85" i="10"/>
  <c r="L204" i="10"/>
  <c r="G135" i="12"/>
  <c r="H131" i="12"/>
  <c r="G17" i="12"/>
  <c r="G14" i="12"/>
  <c r="J110" i="12"/>
  <c r="G23" i="13" s="1"/>
  <c r="G68" i="12"/>
  <c r="J68" i="12" s="1"/>
  <c r="F10" i="13" s="1"/>
  <c r="G9" i="12"/>
  <c r="J76" i="12"/>
  <c r="F18" i="13" s="1"/>
  <c r="G131" i="12"/>
  <c r="G19" i="12"/>
  <c r="G71" i="12"/>
  <c r="J71" i="12" s="1"/>
  <c r="F13" i="13" s="1"/>
  <c r="J100" i="12"/>
  <c r="G13" i="13" s="1"/>
  <c r="G18" i="12"/>
  <c r="G10" i="12"/>
  <c r="G75" i="12"/>
  <c r="J75" i="12" s="1"/>
  <c r="F17" i="13" s="1"/>
  <c r="G81" i="12"/>
  <c r="J81" i="12" s="1"/>
  <c r="F23" i="13" s="1"/>
  <c r="G67" i="12"/>
  <c r="J67" i="12" s="1"/>
  <c r="F9" i="13" s="1"/>
  <c r="G65" i="12"/>
  <c r="J65" i="12" s="1"/>
  <c r="F7" i="13" s="1"/>
  <c r="J111" i="12"/>
  <c r="G24" i="13" s="1"/>
  <c r="G82" i="12"/>
  <c r="J82" i="12" s="1"/>
  <c r="F24" i="13" s="1"/>
  <c r="G77" i="12"/>
  <c r="J77" i="12" s="1"/>
  <c r="F19" i="13" s="1"/>
  <c r="G26" i="12"/>
  <c r="G21" i="12"/>
  <c r="J106" i="12"/>
  <c r="G19" i="13" s="1"/>
  <c r="G13" i="12"/>
  <c r="I13" i="12" s="1"/>
  <c r="C12" i="13" s="1"/>
  <c r="G74" i="12"/>
  <c r="J74" i="12" s="1"/>
  <c r="F16" i="13" s="1"/>
  <c r="G78" i="12"/>
  <c r="J78" i="12" s="1"/>
  <c r="F20" i="13" s="1"/>
  <c r="L110" i="7"/>
  <c r="D189" i="10" s="1"/>
  <c r="L189" i="10" s="1"/>
  <c r="L81" i="7"/>
  <c r="D158" i="10" s="1"/>
  <c r="L158" i="10" s="1"/>
  <c r="L118" i="7"/>
  <c r="D202" i="10" s="1"/>
  <c r="L202" i="10" s="1"/>
  <c r="L96" i="10"/>
  <c r="G83" i="12"/>
  <c r="J83" i="12" s="1"/>
  <c r="F25" i="13" s="1"/>
  <c r="G70" i="12"/>
  <c r="J70" i="12" s="1"/>
  <c r="F12" i="13" s="1"/>
  <c r="G73" i="12"/>
  <c r="J73" i="12" s="1"/>
  <c r="F15" i="13" s="1"/>
  <c r="G24" i="12"/>
  <c r="G25" i="12"/>
  <c r="G8" i="12"/>
  <c r="G16" i="12"/>
  <c r="G15" i="12"/>
  <c r="G20" i="12"/>
  <c r="G23" i="12"/>
  <c r="G66" i="12"/>
  <c r="J66" i="12" s="1"/>
  <c r="F8" i="13" s="1"/>
  <c r="G72" i="12"/>
  <c r="G80" i="12"/>
  <c r="L126" i="7"/>
  <c r="D210" i="10" s="1"/>
  <c r="L210" i="10" s="1"/>
  <c r="U125" i="12"/>
  <c r="G130" i="12"/>
  <c r="AB123" i="12"/>
  <c r="AE123" i="12" s="1"/>
  <c r="K7" i="13" s="1"/>
  <c r="U133" i="12"/>
  <c r="G140" i="12"/>
  <c r="U124" i="12"/>
  <c r="AS132" i="12"/>
  <c r="M16" i="13" s="1"/>
  <c r="G125" i="12"/>
  <c r="U139" i="12"/>
  <c r="AE141" i="12"/>
  <c r="K25" i="13" s="1"/>
  <c r="G141" i="12"/>
  <c r="U134" i="12"/>
  <c r="U129" i="12"/>
  <c r="G139" i="12"/>
  <c r="G133" i="12"/>
  <c r="U140" i="12"/>
  <c r="G134" i="12"/>
  <c r="U136" i="12"/>
  <c r="U123" i="12"/>
  <c r="G126" i="12"/>
  <c r="G129" i="12"/>
  <c r="AB126" i="12"/>
  <c r="AE126" i="12" s="1"/>
  <c r="K10" i="13" s="1"/>
  <c r="U132" i="12"/>
  <c r="G132" i="12"/>
  <c r="AB139" i="12"/>
  <c r="AE139" i="12" s="1"/>
  <c r="K23" i="13" s="1"/>
  <c r="G138" i="12"/>
  <c r="G136" i="12"/>
  <c r="AI139" i="12"/>
  <c r="U141" i="12"/>
  <c r="AI133" i="12"/>
  <c r="AB130" i="12"/>
  <c r="AB138" i="12"/>
  <c r="AP130" i="12"/>
  <c r="AP138" i="12"/>
  <c r="G128" i="12"/>
  <c r="G123" i="12"/>
  <c r="U135" i="12"/>
  <c r="AI128" i="12"/>
  <c r="AL128" i="12" s="1"/>
  <c r="L12" i="13" s="1"/>
  <c r="AI123" i="12"/>
  <c r="AB128" i="12"/>
  <c r="AE128" i="12" s="1"/>
  <c r="K12" i="13" s="1"/>
  <c r="AB125" i="12"/>
  <c r="AE125" i="12" s="1"/>
  <c r="K9" i="13" s="1"/>
  <c r="AP128" i="12"/>
  <c r="AS128" i="12" s="1"/>
  <c r="M12" i="13" s="1"/>
  <c r="AP124" i="12"/>
  <c r="AS124" i="12" s="1"/>
  <c r="M8" i="13" s="1"/>
  <c r="AB131" i="12"/>
  <c r="AE131" i="12" s="1"/>
  <c r="K15" i="13" s="1"/>
  <c r="AB134" i="12"/>
  <c r="AE134" i="12" s="1"/>
  <c r="K18" i="13" s="1"/>
  <c r="AP129" i="12"/>
  <c r="AS129" i="12" s="1"/>
  <c r="M13" i="13" s="1"/>
  <c r="AP133" i="12"/>
  <c r="AS133" i="12" s="1"/>
  <c r="M17" i="13" s="1"/>
  <c r="G124" i="12"/>
  <c r="AB133" i="12"/>
  <c r="AE133" i="12" s="1"/>
  <c r="K17" i="13" s="1"/>
  <c r="AP123" i="12"/>
  <c r="AS123" i="12" s="1"/>
  <c r="M7" i="13" s="1"/>
  <c r="U128" i="12"/>
  <c r="AI138" i="12"/>
  <c r="AI130" i="12"/>
  <c r="AI129" i="12"/>
  <c r="AB132" i="12"/>
  <c r="AE132" i="12" s="1"/>
  <c r="K16" i="13" s="1"/>
  <c r="AB136" i="12"/>
  <c r="AE136" i="12" s="1"/>
  <c r="K20" i="13" s="1"/>
  <c r="AP131" i="12"/>
  <c r="AS131" i="12" s="1"/>
  <c r="M15" i="13" s="1"/>
  <c r="AI140" i="12"/>
  <c r="AB129" i="12"/>
  <c r="AE129" i="12" s="1"/>
  <c r="K13" i="13" s="1"/>
  <c r="AB124" i="12"/>
  <c r="AE124" i="12" s="1"/>
  <c r="K8" i="13" s="1"/>
  <c r="AP140" i="12"/>
  <c r="AS140" i="12" s="1"/>
  <c r="M24" i="13" s="1"/>
  <c r="AI124" i="12"/>
  <c r="AB140" i="12"/>
  <c r="AE140" i="12" s="1"/>
  <c r="K24" i="13" s="1"/>
  <c r="AB135" i="12"/>
  <c r="AE135" i="12" s="1"/>
  <c r="K19" i="13" s="1"/>
  <c r="AP139" i="12"/>
  <c r="AS139" i="12" s="1"/>
  <c r="M23" i="13" s="1"/>
  <c r="U131" i="12"/>
  <c r="AI132" i="12"/>
  <c r="L42" i="7"/>
  <c r="D115" i="10" s="1"/>
  <c r="L115" i="10" s="1"/>
  <c r="R73" i="6"/>
  <c r="F181" i="11" s="1"/>
  <c r="F177" i="11"/>
  <c r="F180" i="11"/>
  <c r="F179" i="11"/>
  <c r="F178" i="11"/>
  <c r="F173" i="11"/>
  <c r="F176" i="11"/>
  <c r="F175" i="11"/>
  <c r="F174" i="11"/>
  <c r="F169" i="11"/>
  <c r="F172" i="11"/>
  <c r="F171" i="11"/>
  <c r="F170" i="11"/>
  <c r="F164" i="11"/>
  <c r="F165" i="11"/>
  <c r="F168" i="11"/>
  <c r="F167" i="11"/>
  <c r="F166" i="11"/>
  <c r="L60" i="7"/>
  <c r="D135" i="10" s="1"/>
  <c r="L135" i="10" s="1"/>
  <c r="L83" i="7"/>
  <c r="D160" i="10" s="1"/>
  <c r="L160" i="10" s="1"/>
  <c r="L105" i="7"/>
  <c r="D184" i="10" s="1"/>
  <c r="L184" i="10" s="1"/>
  <c r="L58" i="7"/>
  <c r="D133" i="10" s="1"/>
  <c r="L133" i="10" s="1"/>
  <c r="L12" i="7"/>
  <c r="D83" i="10" s="1"/>
  <c r="L83" i="10" s="1"/>
  <c r="D116" i="10"/>
  <c r="L116" i="10" s="1"/>
  <c r="D108" i="10"/>
  <c r="L108" i="10" s="1"/>
  <c r="D114" i="10"/>
  <c r="L114" i="10" s="1"/>
  <c r="D119" i="10"/>
  <c r="L119" i="10" s="1"/>
  <c r="D122" i="10"/>
  <c r="L122" i="10" s="1"/>
  <c r="D110" i="10"/>
  <c r="L110" i="10" s="1"/>
  <c r="D118" i="10"/>
  <c r="L118" i="10" s="1"/>
  <c r="D117" i="10"/>
  <c r="L117" i="10" s="1"/>
  <c r="J38" i="7"/>
  <c r="L38" i="7"/>
  <c r="D111" i="10" s="1"/>
  <c r="L111" i="10" s="1"/>
  <c r="L13" i="7"/>
  <c r="D84" i="10" s="1"/>
  <c r="L84" i="10" s="1"/>
  <c r="T61" i="7"/>
  <c r="E136" i="10" s="1"/>
  <c r="T84" i="7"/>
  <c r="E161" i="10" s="1"/>
  <c r="T15" i="7"/>
  <c r="E86" i="10" s="1"/>
  <c r="L74" i="7"/>
  <c r="L98" i="7"/>
  <c r="AJ129" i="12"/>
  <c r="H128" i="12"/>
  <c r="H123" i="12"/>
  <c r="H136" i="12"/>
  <c r="H134" i="12"/>
  <c r="H132" i="12"/>
  <c r="H8" i="12"/>
  <c r="H14" i="12"/>
  <c r="I14" i="12" s="1"/>
  <c r="C13" i="13" s="1"/>
  <c r="H23" i="12"/>
  <c r="H15" i="12"/>
  <c r="H16" i="12"/>
  <c r="H25" i="12"/>
  <c r="H24" i="12"/>
  <c r="H17" i="12"/>
  <c r="H9" i="12"/>
  <c r="I9" i="12" s="1"/>
  <c r="C8" i="13" s="1"/>
  <c r="H18" i="12"/>
  <c r="H26" i="12"/>
  <c r="H10" i="12"/>
  <c r="H19" i="12"/>
  <c r="H20" i="12"/>
  <c r="H11" i="12"/>
  <c r="I11" i="12" s="1"/>
  <c r="C10" i="13" s="1"/>
  <c r="H21" i="12"/>
  <c r="H126" i="12"/>
  <c r="H139" i="12"/>
  <c r="H130" i="12"/>
  <c r="H138" i="12"/>
  <c r="H140" i="12"/>
  <c r="H129" i="12"/>
  <c r="H133" i="12"/>
  <c r="H141" i="12"/>
  <c r="H125" i="12"/>
  <c r="H124" i="12"/>
  <c r="H135" i="12"/>
  <c r="L28" i="7"/>
  <c r="L122" i="7"/>
  <c r="D206" i="10" s="1"/>
  <c r="L206" i="10" s="1"/>
  <c r="L124" i="7"/>
  <c r="D208" i="10" s="1"/>
  <c r="L208" i="10" s="1"/>
  <c r="L75" i="7"/>
  <c r="AJ131" i="12"/>
  <c r="AL131" i="12" s="1"/>
  <c r="L15" i="13" s="1"/>
  <c r="AJ124" i="12"/>
  <c r="AJ138" i="12"/>
  <c r="AJ123" i="12"/>
  <c r="AJ130" i="12"/>
  <c r="AJ132" i="12"/>
  <c r="L82" i="7"/>
  <c r="D159" i="10" s="1"/>
  <c r="L159" i="10" s="1"/>
  <c r="L121" i="7"/>
  <c r="D205" i="10" s="1"/>
  <c r="L205" i="10" s="1"/>
  <c r="L16" i="15"/>
  <c r="K16" i="15"/>
  <c r="J16" i="15"/>
  <c r="D16" i="15"/>
  <c r="E16" i="15" s="1"/>
  <c r="M16" i="15" s="1"/>
  <c r="D22" i="15"/>
  <c r="E22" i="15" s="1"/>
  <c r="M22" i="15" s="1"/>
  <c r="K22" i="15"/>
  <c r="J22" i="15"/>
  <c r="L22" i="15"/>
  <c r="L13" i="15"/>
  <c r="K13" i="15"/>
  <c r="J13" i="15"/>
  <c r="D13" i="15"/>
  <c r="E13" i="15" s="1"/>
  <c r="M13" i="15" s="1"/>
  <c r="D20" i="15"/>
  <c r="E20" i="15" s="1"/>
  <c r="M20" i="15" s="1"/>
  <c r="L20" i="15"/>
  <c r="K20" i="15"/>
  <c r="J20" i="15"/>
  <c r="L14" i="15"/>
  <c r="K14" i="15"/>
  <c r="J14" i="15"/>
  <c r="D14" i="15"/>
  <c r="E14" i="15" s="1"/>
  <c r="M14" i="15" s="1"/>
  <c r="L15" i="15"/>
  <c r="K15" i="15"/>
  <c r="J15" i="15"/>
  <c r="D15" i="15"/>
  <c r="E15" i="15" s="1"/>
  <c r="M15" i="15" s="1"/>
  <c r="AJ140" i="12"/>
  <c r="L17" i="15"/>
  <c r="K17" i="15"/>
  <c r="J17" i="15"/>
  <c r="D17" i="15"/>
  <c r="E17" i="15" s="1"/>
  <c r="M17" i="15" s="1"/>
  <c r="L97" i="7"/>
  <c r="L11" i="15"/>
  <c r="K11" i="15"/>
  <c r="J11" i="15"/>
  <c r="E11" i="15"/>
  <c r="M11" i="15" s="1"/>
  <c r="L10" i="15"/>
  <c r="K10" i="15"/>
  <c r="J10" i="15"/>
  <c r="D10" i="15"/>
  <c r="E10" i="15" s="1"/>
  <c r="M10" i="15" s="1"/>
  <c r="L18" i="15"/>
  <c r="K18" i="15"/>
  <c r="J18" i="15"/>
  <c r="D18" i="15"/>
  <c r="E18" i="15" s="1"/>
  <c r="M18" i="15" s="1"/>
  <c r="L7" i="15"/>
  <c r="K7" i="15"/>
  <c r="J7" i="15"/>
  <c r="D7" i="15"/>
  <c r="E7" i="15" s="1"/>
  <c r="M7" i="15" s="1"/>
  <c r="L12" i="15"/>
  <c r="K12" i="15"/>
  <c r="J12" i="15"/>
  <c r="D12" i="15"/>
  <c r="E12" i="15" s="1"/>
  <c r="M12" i="15" s="1"/>
  <c r="D21" i="15"/>
  <c r="E21" i="15" s="1"/>
  <c r="M21" i="15" s="1"/>
  <c r="L21" i="15"/>
  <c r="J21" i="15"/>
  <c r="K21" i="15"/>
  <c r="D23" i="15"/>
  <c r="E23" i="15" s="1"/>
  <c r="M23" i="15" s="1"/>
  <c r="J23" i="15"/>
  <c r="L23" i="15"/>
  <c r="K23" i="15"/>
  <c r="L8" i="15"/>
  <c r="K8" i="15"/>
  <c r="J8" i="15"/>
  <c r="D8" i="15"/>
  <c r="E8" i="15" s="1"/>
  <c r="M8" i="15" s="1"/>
  <c r="AJ139" i="12"/>
  <c r="AJ133" i="12"/>
  <c r="D19" i="15"/>
  <c r="E19" i="15" s="1"/>
  <c r="M19" i="15" s="1"/>
  <c r="L19" i="15"/>
  <c r="K19" i="15"/>
  <c r="J19" i="15"/>
  <c r="L9" i="15"/>
  <c r="K9" i="15"/>
  <c r="J9" i="15"/>
  <c r="D9" i="15"/>
  <c r="E9" i="15" s="1"/>
  <c r="M9" i="15" s="1"/>
  <c r="J135" i="12" l="1"/>
  <c r="H19" i="13" s="1"/>
  <c r="I17" i="12"/>
  <c r="C16" i="13" s="1"/>
  <c r="J131" i="12"/>
  <c r="H15" i="13" s="1"/>
  <c r="I18" i="12"/>
  <c r="C17" i="13" s="1"/>
  <c r="I19" i="12"/>
  <c r="C18" i="13" s="1"/>
  <c r="I15" i="12"/>
  <c r="C14" i="13" s="1"/>
  <c r="I10" i="12"/>
  <c r="C9" i="13" s="1"/>
  <c r="J132" i="12"/>
  <c r="H16" i="13" s="1"/>
  <c r="J125" i="12"/>
  <c r="H9" i="13" s="1"/>
  <c r="J140" i="12"/>
  <c r="H24" i="13" s="1"/>
  <c r="I16" i="12"/>
  <c r="C15" i="13" s="1"/>
  <c r="I23" i="12"/>
  <c r="C22" i="13" s="1"/>
  <c r="I8" i="12"/>
  <c r="C7" i="13" s="1"/>
  <c r="AL123" i="12"/>
  <c r="L7" i="13" s="1"/>
  <c r="I21" i="12"/>
  <c r="C20" i="13" s="1"/>
  <c r="AL133" i="12"/>
  <c r="L17" i="13" s="1"/>
  <c r="J130" i="12"/>
  <c r="H14" i="13" s="1"/>
  <c r="I26" i="12"/>
  <c r="C25" i="13" s="1"/>
  <c r="I24" i="12"/>
  <c r="C23" i="13" s="1"/>
  <c r="J129" i="12"/>
  <c r="H13" i="13" s="1"/>
  <c r="J139" i="12"/>
  <c r="H23" i="13" s="1"/>
  <c r="I20" i="12"/>
  <c r="C19" i="13" s="1"/>
  <c r="I25" i="12"/>
  <c r="C24" i="13" s="1"/>
  <c r="AL140" i="12"/>
  <c r="L24" i="13" s="1"/>
  <c r="J141" i="12"/>
  <c r="H25" i="13" s="1"/>
  <c r="J138" i="12"/>
  <c r="H22" i="13" s="1"/>
  <c r="J133" i="12"/>
  <c r="H17" i="13" s="1"/>
  <c r="AL129" i="12"/>
  <c r="L13" i="13" s="1"/>
  <c r="AL124" i="12"/>
  <c r="L8" i="13" s="1"/>
  <c r="J136" i="12"/>
  <c r="H20" i="13" s="1"/>
  <c r="AL132" i="12"/>
  <c r="L16" i="13" s="1"/>
  <c r="J128" i="12"/>
  <c r="H12" i="13" s="1"/>
  <c r="J134" i="12"/>
  <c r="H18" i="13" s="1"/>
  <c r="AL139" i="12"/>
  <c r="L23" i="13" s="1"/>
  <c r="J124" i="12"/>
  <c r="H8" i="13" s="1"/>
  <c r="J126" i="12"/>
  <c r="H10" i="13" s="1"/>
  <c r="J123" i="12"/>
  <c r="H7" i="13" s="1"/>
  <c r="L84" i="7"/>
  <c r="D161" i="10" s="1"/>
  <c r="L161" i="10" s="1"/>
  <c r="L61" i="7"/>
  <c r="D136" i="10" s="1"/>
  <c r="L136" i="10" s="1"/>
  <c r="L15" i="7"/>
  <c r="D86" i="10" s="1"/>
  <c r="L86" i="10" s="1"/>
  <c r="L155" i="6"/>
  <c r="N155" i="6" l="1"/>
  <c r="O155" i="6" s="1"/>
  <c r="Q155" i="6"/>
  <c r="R155" i="6" s="1"/>
  <c r="L168" i="6"/>
  <c r="O136" i="10"/>
  <c r="L200" i="6"/>
  <c r="T131" i="12"/>
  <c r="L119" i="1"/>
  <c r="T144" i="12" l="1"/>
  <c r="T143" i="12"/>
  <c r="Q200" i="6"/>
  <c r="R200" i="6" s="1"/>
  <c r="N200" i="6"/>
  <c r="O200" i="6" s="1"/>
  <c r="Q168" i="6"/>
  <c r="R168" i="6" s="1"/>
  <c r="N168" i="6"/>
  <c r="O168" i="6" s="1"/>
  <c r="E271" i="11" s="1"/>
  <c r="E260" i="11"/>
  <c r="D260" i="11" s="1"/>
  <c r="E256" i="11"/>
  <c r="D256" i="11" s="1"/>
  <c r="E262" i="11"/>
  <c r="D262" i="11" s="1"/>
  <c r="E255" i="11"/>
  <c r="D255" i="11" s="1"/>
  <c r="E269" i="11"/>
  <c r="D269" i="11" s="1"/>
  <c r="E261" i="11"/>
  <c r="D261" i="11" s="1"/>
  <c r="E258" i="11"/>
  <c r="D258" i="11" s="1"/>
  <c r="E264" i="11"/>
  <c r="D264" i="11" s="1"/>
  <c r="E257" i="11"/>
  <c r="D257" i="11" s="1"/>
  <c r="E268" i="11"/>
  <c r="D268" i="11" s="1"/>
  <c r="E266" i="11"/>
  <c r="D266" i="11" s="1"/>
  <c r="E254" i="11"/>
  <c r="D254" i="11" s="1"/>
  <c r="E267" i="11"/>
  <c r="D267" i="11" s="1"/>
  <c r="E270" i="11"/>
  <c r="D270" i="11" s="1"/>
  <c r="E263" i="11"/>
  <c r="D263" i="11" s="1"/>
  <c r="E259" i="11"/>
  <c r="D259" i="11" s="1"/>
  <c r="E265" i="11"/>
  <c r="D265" i="11" s="1"/>
  <c r="L213" i="6"/>
  <c r="W131" i="12"/>
  <c r="O150" i="10"/>
  <c r="O149" i="10"/>
  <c r="V131" i="12" l="1"/>
  <c r="X131" i="12" s="1"/>
  <c r="J15" i="13" s="1"/>
  <c r="Q213" i="6"/>
  <c r="R213" i="6" s="1"/>
  <c r="N213" i="6"/>
  <c r="O213" i="6" s="1"/>
  <c r="V126" i="12"/>
  <c r="X126" i="12" s="1"/>
  <c r="J10" i="13" s="1"/>
  <c r="V140" i="12"/>
  <c r="X140" i="12" s="1"/>
  <c r="J24" i="13" s="1"/>
  <c r="V130" i="12"/>
  <c r="V125" i="12"/>
  <c r="X125" i="12" s="1"/>
  <c r="J9" i="13" s="1"/>
  <c r="V139" i="12"/>
  <c r="X139" i="12" s="1"/>
  <c r="J23" i="13" s="1"/>
  <c r="V138" i="12"/>
  <c r="V123" i="12"/>
  <c r="X123" i="12" s="1"/>
  <c r="J7" i="13" s="1"/>
  <c r="V128" i="12"/>
  <c r="X128" i="12" s="1"/>
  <c r="J12" i="13" s="1"/>
  <c r="V134" i="12"/>
  <c r="X134" i="12" s="1"/>
  <c r="J18" i="13" s="1"/>
  <c r="V135" i="12"/>
  <c r="X135" i="12" s="1"/>
  <c r="J19" i="13" s="1"/>
  <c r="V124" i="12"/>
  <c r="X124" i="12" s="1"/>
  <c r="J8" i="13" s="1"/>
  <c r="V136" i="12"/>
  <c r="X136" i="12" s="1"/>
  <c r="J20" i="13" s="1"/>
  <c r="V129" i="12"/>
  <c r="X129" i="12" s="1"/>
  <c r="J13" i="13" s="1"/>
  <c r="V132" i="12"/>
  <c r="X132" i="12" s="1"/>
  <c r="J16" i="13" s="1"/>
  <c r="V133" i="12"/>
  <c r="X133" i="12" s="1"/>
  <c r="J17" i="13" s="1"/>
  <c r="V141" i="12"/>
  <c r="X141" i="12" s="1"/>
  <c r="J25" i="13" s="1"/>
  <c r="E55" i="15"/>
  <c r="G55" i="15"/>
  <c r="F55" i="15"/>
  <c r="H55" i="15"/>
  <c r="E59" i="15"/>
  <c r="F59" i="15"/>
  <c r="G59" i="15"/>
  <c r="G71" i="15"/>
  <c r="F71" i="15"/>
  <c r="E71" i="15"/>
  <c r="E66" i="15"/>
  <c r="F66" i="15"/>
  <c r="G66" i="15"/>
  <c r="F68" i="15"/>
  <c r="E68" i="15"/>
  <c r="G68" i="15"/>
  <c r="E62" i="15"/>
  <c r="F62" i="15"/>
  <c r="G62" i="15"/>
  <c r="F61" i="15"/>
  <c r="E61" i="15"/>
  <c r="G61" i="15"/>
  <c r="E70" i="15"/>
  <c r="F70" i="15"/>
  <c r="G70" i="15"/>
  <c r="E65" i="15"/>
  <c r="F65" i="15"/>
  <c r="G65" i="15"/>
  <c r="F67" i="15"/>
  <c r="G67" i="15"/>
  <c r="E67" i="15"/>
  <c r="G58" i="15"/>
  <c r="E58" i="15"/>
  <c r="F58" i="15"/>
  <c r="H71" i="15"/>
  <c r="E64" i="15"/>
  <c r="G64" i="15"/>
  <c r="F64" i="15"/>
  <c r="H59" i="15"/>
  <c r="H67" i="15"/>
  <c r="F60" i="15"/>
  <c r="E60" i="15"/>
  <c r="G60" i="15"/>
  <c r="E56" i="15"/>
  <c r="G56" i="15"/>
  <c r="F56" i="15"/>
  <c r="G69" i="15"/>
  <c r="E69" i="15"/>
  <c r="F69" i="15"/>
  <c r="E57" i="15"/>
  <c r="G57" i="15"/>
  <c r="H57" i="15"/>
  <c r="F57" i="15"/>
  <c r="E63" i="15"/>
  <c r="G63" i="15"/>
  <c r="F63" i="15"/>
  <c r="H61" i="15"/>
  <c r="H68" i="15"/>
  <c r="H65" i="15"/>
  <c r="H58" i="15"/>
  <c r="H66" i="15"/>
  <c r="H56" i="15"/>
  <c r="H69" i="15"/>
  <c r="H62" i="15"/>
  <c r="H64" i="15"/>
  <c r="H63" i="15"/>
  <c r="H60" i="15"/>
  <c r="H70" i="15"/>
</calcChain>
</file>

<file path=xl/sharedStrings.xml><?xml version="1.0" encoding="utf-8"?>
<sst xmlns="http://schemas.openxmlformats.org/spreadsheetml/2006/main" count="5710" uniqueCount="795">
  <si>
    <t>Cover</t>
  </si>
  <si>
    <t>Model name:</t>
  </si>
  <si>
    <t>Service Delivery Report Analysis Model</t>
  </si>
  <si>
    <t>Version number:</t>
  </si>
  <si>
    <t>Filename:</t>
  </si>
  <si>
    <t>Date:</t>
  </si>
  <si>
    <t>Author:</t>
  </si>
  <si>
    <t>Ofwat</t>
  </si>
  <si>
    <t>Summary of model:</t>
  </si>
  <si>
    <t>Version control:</t>
  </si>
  <si>
    <t>Version No.</t>
  </si>
  <si>
    <t>Date created</t>
  </si>
  <si>
    <t>Description of changes</t>
  </si>
  <si>
    <t>Model created</t>
  </si>
  <si>
    <t>Key data sources:</t>
  </si>
  <si>
    <t>• Company Annual Performance Report Tables</t>
  </si>
  <si>
    <t>• Company Business Plans</t>
  </si>
  <si>
    <t>• Retail Reconciliation Models</t>
  </si>
  <si>
    <t>• Discover Water - Loss of Supply:</t>
  </si>
  <si>
    <t>English</t>
  </si>
  <si>
    <t>Cymraeg</t>
  </si>
  <si>
    <t>• Drinking Water Inspectorate (DWI) - Annual Reports: Company statistics and company performance data:</t>
  </si>
  <si>
    <t>Link</t>
  </si>
  <si>
    <t>• Environment Agency - Environmental Performance Assessments:</t>
  </si>
  <si>
    <t>• Natural Resources Wales (Cyfoeth Naturiol Cymru) - Annual Performance Reports:</t>
  </si>
  <si>
    <t>End of sheet</t>
  </si>
  <si>
    <t>Map &amp; Key</t>
  </si>
  <si>
    <t>Model map</t>
  </si>
  <si>
    <t>Sheet tabs</t>
  </si>
  <si>
    <t>Dark blue</t>
  </si>
  <si>
    <t>Documentation sheets</t>
  </si>
  <si>
    <t>Light yellow</t>
  </si>
  <si>
    <t>Input sheets</t>
  </si>
  <si>
    <t>No color (default tab color)</t>
  </si>
  <si>
    <t>Calculation sheets</t>
  </si>
  <si>
    <t>Pale blue</t>
  </si>
  <si>
    <t>Output sheets</t>
  </si>
  <si>
    <t>Cells - input and calculation tabs</t>
  </si>
  <si>
    <t>Black text, no border</t>
  </si>
  <si>
    <t>Label / text</t>
  </si>
  <si>
    <t>Grey italics, no border</t>
  </si>
  <si>
    <t>Source information</t>
  </si>
  <si>
    <t>Blue text, italic, underlined</t>
  </si>
  <si>
    <t>Hyperlink</t>
  </si>
  <si>
    <t>Dark blue, bold font</t>
  </si>
  <si>
    <t>Section divider</t>
  </si>
  <si>
    <t>Pale blue, bold font</t>
  </si>
  <si>
    <t>Sub-section divider</t>
  </si>
  <si>
    <t>Grey, bold font</t>
  </si>
  <si>
    <t>End of sheet indicator</t>
  </si>
  <si>
    <t>Light yellow, grey border</t>
  </si>
  <si>
    <t>Input cell</t>
  </si>
  <si>
    <t>Light yellow, blue text</t>
  </si>
  <si>
    <t>Input linked from Overrides sheet</t>
  </si>
  <si>
    <t>Light grey, grey border</t>
  </si>
  <si>
    <t>Intentionally blank cell</t>
  </si>
  <si>
    <t>Grey border, blue text</t>
  </si>
  <si>
    <t>Link or lookup from another sheet</t>
  </si>
  <si>
    <t>Grey border, green text</t>
  </si>
  <si>
    <t>Link or lookup from within sheet</t>
  </si>
  <si>
    <t>Grey border, black text</t>
  </si>
  <si>
    <t>Calculation cell</t>
  </si>
  <si>
    <t>Grey border, pink text</t>
  </si>
  <si>
    <t>Calculation exported to another sheet</t>
  </si>
  <si>
    <t>Cells - output tabs</t>
  </si>
  <si>
    <t>Quartiles</t>
  </si>
  <si>
    <t>Performance commitments</t>
  </si>
  <si>
    <t>Top 25%</t>
  </si>
  <si>
    <t>Targets met</t>
  </si>
  <si>
    <t>Middle 50%</t>
  </si>
  <si>
    <t>Targets failed</t>
  </si>
  <si>
    <t>Bottom 25%</t>
  </si>
  <si>
    <t>Targets met &amp; failed</t>
  </si>
  <si>
    <t>▲</t>
  </si>
  <si>
    <t>Improved performance</t>
  </si>
  <si>
    <t>▼</t>
  </si>
  <si>
    <t>Deteriorated performance</t>
  </si>
  <si>
    <t>Abbreviations - companies</t>
  </si>
  <si>
    <t>Acronym</t>
  </si>
  <si>
    <t>Company Name</t>
  </si>
  <si>
    <t>ANH</t>
  </si>
  <si>
    <t>Anglian Water</t>
  </si>
  <si>
    <t>WSH</t>
  </si>
  <si>
    <t>Dŵr Cymru</t>
  </si>
  <si>
    <t>(Welsh Water)</t>
  </si>
  <si>
    <t>HDD</t>
  </si>
  <si>
    <t>Hafren Dyfrdwy</t>
  </si>
  <si>
    <t>NES</t>
  </si>
  <si>
    <t>Northumbrian Water</t>
  </si>
  <si>
    <t>SVE</t>
  </si>
  <si>
    <t>Severn Trent Water</t>
  </si>
  <si>
    <t>SWB</t>
  </si>
  <si>
    <t>South West Water</t>
  </si>
  <si>
    <t>(incl. Bournemouth)</t>
  </si>
  <si>
    <t>SRN</t>
  </si>
  <si>
    <t>Southern Water</t>
  </si>
  <si>
    <t>TMS</t>
  </si>
  <si>
    <t>Thames Water</t>
  </si>
  <si>
    <t>UU</t>
  </si>
  <si>
    <t>United Utilities</t>
  </si>
  <si>
    <t>WSX</t>
  </si>
  <si>
    <t>Wessex Water</t>
  </si>
  <si>
    <t>YKY</t>
  </si>
  <si>
    <t>Yorkshire Water</t>
  </si>
  <si>
    <t>AFW</t>
  </si>
  <si>
    <t>Affinity Water</t>
  </si>
  <si>
    <t>BRL</t>
  </si>
  <si>
    <t>Bristol Water</t>
  </si>
  <si>
    <t>PRT</t>
  </si>
  <si>
    <t>Portsmouth Water</t>
  </si>
  <si>
    <t>SES</t>
  </si>
  <si>
    <t>SES Water</t>
  </si>
  <si>
    <t>SEW</t>
  </si>
  <si>
    <t>South East Water</t>
  </si>
  <si>
    <t>SSC</t>
  </si>
  <si>
    <t>South Staffs Water</t>
  </si>
  <si>
    <t>SBW</t>
  </si>
  <si>
    <t>Bournemouth Water</t>
  </si>
  <si>
    <t>SWT</t>
  </si>
  <si>
    <t>(excl. Bournemouth)</t>
  </si>
  <si>
    <t>SVT</t>
  </si>
  <si>
    <t>(pre 2018 merger)</t>
  </si>
  <si>
    <t>DVW</t>
  </si>
  <si>
    <t>Dee Valley Water</t>
  </si>
  <si>
    <t>Abbreviations - units</t>
  </si>
  <si>
    <t>Unit</t>
  </si>
  <si>
    <t>Description</t>
  </si>
  <si>
    <t>£m</t>
  </si>
  <si>
    <t>Million pounds sterling</t>
  </si>
  <si>
    <t>000s</t>
  </si>
  <si>
    <t>Thousands</t>
  </si>
  <si>
    <t>£</t>
  </si>
  <si>
    <t>Pounds sterling</t>
  </si>
  <si>
    <t>%</t>
  </si>
  <si>
    <t>Percent</t>
  </si>
  <si>
    <t>Ml/d</t>
  </si>
  <si>
    <t>Megalitres per day (million litres per day)</t>
  </si>
  <si>
    <t>Km</t>
  </si>
  <si>
    <t>Kilometres</t>
  </si>
  <si>
    <t>mins/prop</t>
  </si>
  <si>
    <t>Minutes per property</t>
  </si>
  <si>
    <t>No.</t>
  </si>
  <si>
    <t>Number</t>
  </si>
  <si>
    <t>Score</t>
  </si>
  <si>
    <t>Score out of 100</t>
  </si>
  <si>
    <t>m3/km/d</t>
  </si>
  <si>
    <t>Metres cubed per kilometre per day</t>
  </si>
  <si>
    <t>mil mins</t>
  </si>
  <si>
    <t>Million property minutes</t>
  </si>
  <si>
    <t>Global inputs</t>
  </si>
  <si>
    <t>Latest year:</t>
  </si>
  <si>
    <t>2019-20</t>
  </si>
  <si>
    <t>Previous year:</t>
  </si>
  <si>
    <t>Overall assessment of efficiency and effectiveness of service delivery</t>
  </si>
  <si>
    <t>Page 5</t>
  </si>
  <si>
    <t>Total expenditure</t>
  </si>
  <si>
    <t>Outcomes</t>
  </si>
  <si>
    <t>Wholesale</t>
  </si>
  <si>
    <t>Residential retail</t>
  </si>
  <si>
    <t>Customer service</t>
  </si>
  <si>
    <t>Meeting performance commitments</t>
  </si>
  <si>
    <t>Earning financial incentives</t>
  </si>
  <si>
    <t>Leakage</t>
  </si>
  <si>
    <t>PCC</t>
  </si>
  <si>
    <t>Supply interruptions</t>
  </si>
  <si>
    <t>Water quality contacts</t>
  </si>
  <si>
    <t>Internal sewer flooding</t>
  </si>
  <si>
    <t>Pollution incidents</t>
  </si>
  <si>
    <t>Better performance</t>
  </si>
  <si>
    <t>Key</t>
  </si>
  <si>
    <t>Average performance</t>
  </si>
  <si>
    <t>Poorer performance</t>
  </si>
  <si>
    <t>2012-13</t>
  </si>
  <si>
    <t>2013-14</t>
  </si>
  <si>
    <t>2014-15</t>
  </si>
  <si>
    <t>2015-16</t>
  </si>
  <si>
    <t>2016-17</t>
  </si>
  <si>
    <t>2017-18</t>
  </si>
  <si>
    <t>2018-19</t>
  </si>
  <si>
    <t>BM9029</t>
  </si>
  <si>
    <t>Total operating costs (Retail household - accounting separation)</t>
  </si>
  <si>
    <t>BN1100</t>
  </si>
  <si>
    <t>BN1178</t>
  </si>
  <si>
    <t>BN2345</t>
  </si>
  <si>
    <t>C_ES_000010_A001</t>
  </si>
  <si>
    <t>C00090_R005</t>
  </si>
  <si>
    <t>C00736_A001</t>
  </si>
  <si>
    <t>Allowed retail service revenue per measured water customer</t>
  </si>
  <si>
    <t>C00737_A001</t>
  </si>
  <si>
    <t>Allowed retail service revenue per measured sewerage customer</t>
  </si>
  <si>
    <t>C00738_A001</t>
  </si>
  <si>
    <t>Allowed retail service revenue per measured dual service customer</t>
  </si>
  <si>
    <t>C00739_A001</t>
  </si>
  <si>
    <t>Allowed retail service revenue per unmeasured water customer</t>
  </si>
  <si>
    <t>C00740_A001</t>
  </si>
  <si>
    <t>Allowed retail service revenue per unmeasured sewerage customer</t>
  </si>
  <si>
    <t>C00741_A001</t>
  </si>
  <si>
    <t>Allowed retail service revenue per unmeasured dual service customer</t>
  </si>
  <si>
    <t>CRS013</t>
  </si>
  <si>
    <t>CRS013CUM</t>
  </si>
  <si>
    <t>CRS013TTT</t>
  </si>
  <si>
    <t>CRS013TTTCUM</t>
  </si>
  <si>
    <t>CRS014</t>
  </si>
  <si>
    <t>CRS014CUM</t>
  </si>
  <si>
    <t>CRS014TTT</t>
  </si>
  <si>
    <t>CRS014TTTCUM</t>
  </si>
  <si>
    <t>CRW013</t>
  </si>
  <si>
    <t>CRW013CUM</t>
  </si>
  <si>
    <t>CRW014</t>
  </si>
  <si>
    <t>CRW014CUM</t>
  </si>
  <si>
    <t>R3002</t>
  </si>
  <si>
    <t>R3017</t>
  </si>
  <si>
    <t>Households connected for water only - unmetered</t>
  </si>
  <si>
    <t>R3018</t>
  </si>
  <si>
    <t>Households connected for water only - metered</t>
  </si>
  <si>
    <t>R3019</t>
  </si>
  <si>
    <t>Households connected for sewerage only - unmetered</t>
  </si>
  <si>
    <t>R3020</t>
  </si>
  <si>
    <t>Households connected for sewerage only - metered</t>
  </si>
  <si>
    <t>R3021</t>
  </si>
  <si>
    <t>Households connected for water and sewerage - unmetered</t>
  </si>
  <si>
    <t>R3022</t>
  </si>
  <si>
    <t>Households connected for water and sewerage - metered</t>
  </si>
  <si>
    <t>Company</t>
  </si>
  <si>
    <t>Water supply interruptions</t>
  </si>
  <si>
    <t>Hours / property / year</t>
  </si>
  <si>
    <t>BN2161 + BN2221</t>
  </si>
  <si>
    <t>W-A2: Water supply interruptions</t>
  </si>
  <si>
    <t>Minutes / property / year</t>
  </si>
  <si>
    <t>A1: Unplanned customer minutes lost</t>
  </si>
  <si>
    <t>B1: Average duration of interruptions - 3 hours or longer (planned and unplanned interruptions)</t>
  </si>
  <si>
    <t>W-C1: Interruptions to water supply for more than 3 hours (average time per property per year)</t>
  </si>
  <si>
    <t>Mins:secs per property per year</t>
  </si>
  <si>
    <t>C1: Interruptions to supply</t>
  </si>
  <si>
    <t>B3: Decreasing average interruptions &gt;3 hours</t>
  </si>
  <si>
    <t>A3: Supply interruptions &gt;3 hours</t>
  </si>
  <si>
    <t>G2: Average time lost per property (measured in minutes, per property served)</t>
  </si>
  <si>
    <t>4: Interruptions to supply</t>
  </si>
  <si>
    <t>2.1: Interruptions to supply (combined company)</t>
  </si>
  <si>
    <t>W-B4: Number of minutes customers go without supply each year (interruptions to supply &gt; 3 hours)</t>
  </si>
  <si>
    <t>W-A5: Duration of interruptions in supply (hours/property)</t>
  </si>
  <si>
    <t>WB5: Average hours lost supply per property served, due to interruptions &gt; 4 hours</t>
  </si>
  <si>
    <t>Hours lost supply per property served</t>
  </si>
  <si>
    <t>B1: Average minutes supply lost per property (a year)</t>
  </si>
  <si>
    <t>Mins:secs supply lost per property per year</t>
  </si>
  <si>
    <t>A3: Reliability of supply - minutes lost per property per year</t>
  </si>
  <si>
    <t>Minutes of supply interruption per property per year</t>
  </si>
  <si>
    <t>D3: Water supply interruptions (&gt; 3 hours including planned, unplanned and third party interruptions)</t>
  </si>
  <si>
    <t>WB2: Water supply interruptions</t>
  </si>
  <si>
    <t>Minutes lost per property per year</t>
  </si>
  <si>
    <t>Water quality contacts (total)</t>
  </si>
  <si>
    <t>Water quality contacts (Rate per 1,000 population)</t>
  </si>
  <si>
    <t>Rate per 1,000 population</t>
  </si>
  <si>
    <t>S-A2: Properties flooded internally from sewers - three-year average (reduction)</t>
  </si>
  <si>
    <t>No. of properties flooded internally (reduction)</t>
  </si>
  <si>
    <t>S-B5: Transferred drains and sewers - internal sewer flooding</t>
  </si>
  <si>
    <t>No. of properties per year</t>
  </si>
  <si>
    <t>S-B2: Properties flooded internally</t>
  </si>
  <si>
    <t>2: Internal flooding incidents</t>
  </si>
  <si>
    <t>No. of internal sewer flooding incidents</t>
  </si>
  <si>
    <t>S-A1: Number of internal sewer flooding incidents</t>
  </si>
  <si>
    <t>S-A1: Internal sewer flooding incidents</t>
  </si>
  <si>
    <t>SB4: Number of internal flooding incidents, excluding those due to overloaded sewers (SFOC)</t>
  </si>
  <si>
    <t>No. of internal sewer flooding (other causes) incidents</t>
  </si>
  <si>
    <t>S-B2: Sewer flooding index</t>
  </si>
  <si>
    <t>Properties flooded due to other causes</t>
  </si>
  <si>
    <t>Properties flooded due to hydraulic overload</t>
  </si>
  <si>
    <t>D3: Internal sewer flooding - properties flooded in the year</t>
  </si>
  <si>
    <t>No. of properties subjected to internal sewer flooding</t>
  </si>
  <si>
    <t>C1: Internal flooding incidents</t>
  </si>
  <si>
    <t>No. of internal sewer flooding incidents / 10,000 properties</t>
  </si>
  <si>
    <t>SA1: Internal sewer flooding incidents</t>
  </si>
  <si>
    <t>Environment Agency -  Environmental Performance Assessment</t>
  </si>
  <si>
    <t>APRs - Table 3A - Count of 'Yes' and 'No'</t>
  </si>
  <si>
    <t>APRs - Table 3A - Count of 'Yes'</t>
  </si>
  <si>
    <t>Performance commitment</t>
  </si>
  <si>
    <t>W-A1: Leakage</t>
  </si>
  <si>
    <t>W-A2: Average water use</t>
  </si>
  <si>
    <t>W-B2: Customer contacts for discolouration</t>
  </si>
  <si>
    <t>W-A4: Water quality contacts</t>
  </si>
  <si>
    <t>W-D3: Per property consumption (PPC) (litres/household/day reduction)</t>
  </si>
  <si>
    <t>W-D4: Leakage - three-year average</t>
  </si>
  <si>
    <t>S-C1: Percentage of bathing waters attaining excellent status</t>
  </si>
  <si>
    <t>S-C3: Pollution incidents (category 3)</t>
  </si>
  <si>
    <t>E1: Negative water quality contacts</t>
  </si>
  <si>
    <t>F1: Leakage</t>
  </si>
  <si>
    <t>H1: Total carbon emissions</t>
  </si>
  <si>
    <t>H3: Biodiversity index</t>
  </si>
  <si>
    <t>G2: Per capita consumption (PCC), measured as litres per head per day (l/h/d)</t>
  </si>
  <si>
    <t>A1: Discoloured water contacts</t>
  </si>
  <si>
    <t>B2: Sustainable economic level of leakage</t>
  </si>
  <si>
    <t>C1: Gross operational greenhouse gas emissions</t>
  </si>
  <si>
    <t>E1: Per capita consumption and water efficiency</t>
  </si>
  <si>
    <t>W-B1: Satisfaction with taste and odour of tap water</t>
  </si>
  <si>
    <t>W-B3: Discoloured water complaints (3-year average)</t>
  </si>
  <si>
    <t>S-C2: Pollution incidents - category 3 (3-year average)</t>
  </si>
  <si>
    <t>S-C3: Bathing water compliance</t>
  </si>
  <si>
    <t>A3: Water quality contacts</t>
  </si>
  <si>
    <t>B1: Leakage</t>
  </si>
  <si>
    <t>D1: Biodiversity</t>
  </si>
  <si>
    <t>D3: Carbon</t>
  </si>
  <si>
    <t>B1: Reducing per capita consumption (PCC)</t>
  </si>
  <si>
    <t>A1: Customer contacts: taste and appearance (water quality contacts)</t>
  </si>
  <si>
    <t>B1: Reduce leakage (to less than or equal to 20.00 Ml/d by 2020)</t>
  </si>
  <si>
    <t>B6: Reduce per capita consumption (PCC) to 140 litres/head/day by March 2020</t>
  </si>
  <si>
    <t>D1: Reduce energy used in water delivery</t>
  </si>
  <si>
    <t>A6: Taste, odour and discolouration (number of contacts received)</t>
  </si>
  <si>
    <t>E1: Level of leakage measured in megalitres per day (including customer supply pipe leakage)</t>
  </si>
  <si>
    <t>E2: Per capita consumption (PCC), measured in litres per head per day (l/h/d)</t>
  </si>
  <si>
    <t>E4: Greenhouse gas emissions per million litres of water supplied</t>
  </si>
  <si>
    <t>C2: Leakage (actual reported leakage per Ml/d per year)</t>
  </si>
  <si>
    <t>N1: Discolouration contacts</t>
  </si>
  <si>
    <t>O1: Kg of carbon emissions per customer per year</t>
  </si>
  <si>
    <t>3: Leakage (including customer supply-pipe leakage) - five-year average target</t>
  </si>
  <si>
    <t>5a: Drinking water quality - discolouration contacts</t>
  </si>
  <si>
    <t>8: Per capita consumption (PCC) - five-year average target</t>
  </si>
  <si>
    <t>1a: Category 3 pollution incidents (including transferred assets and excluding private pumping stations)</t>
  </si>
  <si>
    <t>7: Proportion of energy from renewable sources</t>
  </si>
  <si>
    <t>8: Bathing waters with ‘excellent’ water quality (part 1)</t>
  </si>
  <si>
    <t>9: Bathing waters with ‘excellent’ water quality (part 2)</t>
  </si>
  <si>
    <t>10: Bathing waters with ‘excellent’ water quality (part 3)</t>
  </si>
  <si>
    <t>11: Serious pollution incidents (category 1 and 2 pollution incidents, as reported by the EA on MD109)</t>
  </si>
  <si>
    <t>1.2: Acceptability of water to customers (combined company)</t>
  </si>
  <si>
    <t>4.3: Water efficiency (household per capita consumption (PCC) reported annually, combined company)</t>
  </si>
  <si>
    <t>4.4: Biodiversity (cumulative total hectares of land under management per year, combined company)</t>
  </si>
  <si>
    <t>4.5: Carbon emissions from power consumption (tonnes, combined company)</t>
  </si>
  <si>
    <t>W-A1: Number of complaints about drinking water quality</t>
  </si>
  <si>
    <t>W-B2: Leakage levels</t>
  </si>
  <si>
    <t>W-D1: Improvements in river water quality against WFD criteria</t>
  </si>
  <si>
    <t>W-E1: Size of our carbon footprint</t>
  </si>
  <si>
    <t>S-C1: Improvements in river water quality against WFD criteria</t>
  </si>
  <si>
    <t>S-C2: The number of category 3 pollution incidents</t>
  </si>
  <si>
    <t>S-C6: Serious pollution incidents</t>
  </si>
  <si>
    <t>S-D1: Size of our carbon footprint</t>
  </si>
  <si>
    <t>W-A2: Taste, smell and colour contacts</t>
  </si>
  <si>
    <t>W-B3: Leakage levels (megalitres a day, Ml/d)</t>
  </si>
  <si>
    <t>W-E6: Operational carbon emissions (ktCO2e)</t>
  </si>
  <si>
    <t>W-E7: Energy from renewable sources (%)</t>
  </si>
  <si>
    <t>S-C4: Pollution incidents (category 1 and 2)</t>
  </si>
  <si>
    <t>S-C5: Pollution incidents (category 3 and 4)</t>
  </si>
  <si>
    <t>S-C6: Operational carbon emissions (ktCO2e)</t>
  </si>
  <si>
    <t>S-C7: Energy from renewable sources (%)</t>
  </si>
  <si>
    <t>S-D1: Bathing water quality</t>
  </si>
  <si>
    <t>S-D3: River water quality improved (km)</t>
  </si>
  <si>
    <t>WC1: Greenhouse gas emissions from water operations</t>
  </si>
  <si>
    <t>WC2: Leakage</t>
  </si>
  <si>
    <t>WD1: Energy imported less energy exported</t>
  </si>
  <si>
    <t>SC1: Greenhouse gas emissions from wastewater operations</t>
  </si>
  <si>
    <t>SC2: Total category 1-3 pollution incidents from sewage related premises</t>
  </si>
  <si>
    <t>SC9: Reduce the amount of phosphorus entering rivers to help improve aquatic plant and wildlife</t>
  </si>
  <si>
    <t>SD1: Energy imported less energy exported</t>
  </si>
  <si>
    <t>A3: Water Quality Service Index</t>
  </si>
  <si>
    <t>B4: Total leakage at or below target</t>
  </si>
  <si>
    <t>C1: Contribution to rivers improved - water programme (NEP schemes and abstraction changes at 4 AIM sites)</t>
  </si>
  <si>
    <t>S-C1: Contribution to bathing waters improved (includes NEP phase 3&amp;4 bathing water intermittent discharge projects)</t>
  </si>
  <si>
    <t>S-D3: Contribution to rivers improved - wastewater programme (includes Oldham, Royton and Windermere)</t>
  </si>
  <si>
    <t>S-D4a: Wastewater serious (category 1 and 2) pollution incidents</t>
  </si>
  <si>
    <t>S-D4b: Wastewater category 3 pollution incidents</t>
  </si>
  <si>
    <t>B2: Per household consumption</t>
  </si>
  <si>
    <t>A2: Customer acceptability (drinking water) - contacts per 1,000 population</t>
  </si>
  <si>
    <t>C2: Carbon footprint - gigawatt-hours (GWh) of renewable energy generated</t>
  </si>
  <si>
    <t>F2: Leakage</t>
  </si>
  <si>
    <t>B3: Preventing pollution - number of category 3 pollution incidents</t>
  </si>
  <si>
    <t>B6: BAP landholding assessed and managed for biodiversity</t>
  </si>
  <si>
    <t>B7: Length of rivers with improved flows</t>
  </si>
  <si>
    <t>F1: Volume of water leaked</t>
  </si>
  <si>
    <t>G1: Customer contacts about drinking water quality</t>
  </si>
  <si>
    <t>A1: Agreed schemes delivered (named outputs with bathing water drivers in the NEP)</t>
  </si>
  <si>
    <t>B3: River water quality improved</t>
  </si>
  <si>
    <t>E1: Greenhouse gas emissions (annual greenhouse gas emissions from operational services)</t>
  </si>
  <si>
    <t>E2: Proportion of energy self-generated</t>
  </si>
  <si>
    <t>B1a: Volume of water used per person</t>
  </si>
  <si>
    <t>WA3: Drinking water contacts</t>
  </si>
  <si>
    <t>WB1: Leakage</t>
  </si>
  <si>
    <t>WB3: Water use</t>
  </si>
  <si>
    <t>WC1: Length of river improved (note: PC is part of a total commitment at Appointee level - see also SB4)</t>
  </si>
  <si>
    <t>WC3: Amount of land conserved and enhanced (total cumulative area) (note: PC is part of a total commitment at Appointee level - see also SB5)</t>
  </si>
  <si>
    <t>WD2: Proportion of waste diverted from landfill (re-used and recycled) (note: PC is part of a total commitment at Appointee level - see also SC2 and RC2)</t>
  </si>
  <si>
    <t>SA3a: Pollution incidents - category 1 and 2</t>
  </si>
  <si>
    <t>SA3b: Pollution incidents - category 3</t>
  </si>
  <si>
    <t>SB1: Number of Yorkshire's designated bathing waters that exceed the required quality standard</t>
  </si>
  <si>
    <t>SB4: Length of river improved (against WFD component measures) (note: PC is part of a total commitment at Appointee level - see also WC1)</t>
  </si>
  <si>
    <t>Pollution incidents per 10,000 km of sewer</t>
  </si>
  <si>
    <t>Total number of incidents (not including adopted assets)</t>
  </si>
  <si>
    <t>Timeline label</t>
  </si>
  <si>
    <t>Units</t>
  </si>
  <si>
    <t>Lookup reference</t>
  </si>
  <si>
    <t>Item code</t>
  </si>
  <si>
    <t>Year by year actuals</t>
  </si>
  <si>
    <t>Water actuals</t>
  </si>
  <si>
    <t>Wastewater actuals</t>
  </si>
  <si>
    <t>Tideway actuals</t>
  </si>
  <si>
    <t>Cumulative actuals</t>
  </si>
  <si>
    <t>Water cumulative actuals</t>
  </si>
  <si>
    <t>Wastewater cumulative actuals</t>
  </si>
  <si>
    <t>Tideway cumulative actuals</t>
  </si>
  <si>
    <t>Year by year allowed</t>
  </si>
  <si>
    <t>Water allowed</t>
  </si>
  <si>
    <t>Wastewater allowed</t>
  </si>
  <si>
    <t>Tideway allowed</t>
  </si>
  <si>
    <t>Cumulative allowed</t>
  </si>
  <si>
    <t>Water cumulative allowed</t>
  </si>
  <si>
    <t>Wastewater cumulative allowed</t>
  </si>
  <si>
    <t>Tideway cumulative allowed</t>
  </si>
  <si>
    <t>Check</t>
  </si>
  <si>
    <t>Customer numbers</t>
  </si>
  <si>
    <t>DVW for 2015-18; retail reconciliation model for 2018-19</t>
  </si>
  <si>
    <t>SVT for 2015-18; retail reconciliation model for 2018-19</t>
  </si>
  <si>
    <t>SWT + SBW</t>
  </si>
  <si>
    <t>Allowed revenues per type</t>
  </si>
  <si>
    <t>DVW for 2015-18; licence amendment for 2018-19</t>
  </si>
  <si>
    <t>SVT for 2015-18; licence amendment for 2018-19</t>
  </si>
  <si>
    <t>Combination of SWT and SBW</t>
  </si>
  <si>
    <t>Total allowed revenue</t>
  </si>
  <si>
    <t>Allowed retail revenues</t>
  </si>
  <si>
    <t>Uses DVW values to calculate the margin adjuster</t>
  </si>
  <si>
    <t>Uses SVT values to calculate the margin adjuster</t>
  </si>
  <si>
    <t>Retail allowed expenditure before margin</t>
  </si>
  <si>
    <t>Allowance for depreciation of pre-2015 assets</t>
  </si>
  <si>
    <t>DVW for 2015-18; BM9029 for 2018-19</t>
  </si>
  <si>
    <t>SVT for 2015-18; BM9029 for 2018-19</t>
  </si>
  <si>
    <t>Leakage (Megalitres per day)</t>
  </si>
  <si>
    <t xml:space="preserve">Table 4P.77 - Total leakage (Ml/d); BON: </t>
  </si>
  <si>
    <t>2012-15: apportionment based on 2015-19 values; 2015-18: Business plans; 2018-19: Table 4P.77</t>
  </si>
  <si>
    <t>Industry</t>
  </si>
  <si>
    <t>Kilometres of water main</t>
  </si>
  <si>
    <t xml:space="preserve">Table 4P.61 - Total length of potable mains as at 31 March (km); BON: </t>
  </si>
  <si>
    <t>2012-15: apportionment based on 2015-19 values; 2015-18: Business plans; 2018-19: Table 4P.61</t>
  </si>
  <si>
    <t>Water delivered per capita consumption (PCC)</t>
  </si>
  <si>
    <t>PCC (litres per head per day)</t>
  </si>
  <si>
    <t>l/h/d</t>
  </si>
  <si>
    <t>Population served</t>
  </si>
  <si>
    <t>Supply iterruptions (minutes per property)</t>
  </si>
  <si>
    <t>Pre-AMP6 source unless specified below:</t>
  </si>
  <si>
    <t>2015-19: APRs - W-A2: Water supply interruptions</t>
  </si>
  <si>
    <t>2015-19: APRs - A3: Reliability of supply - minutes lost per property per year</t>
  </si>
  <si>
    <t>2015-18: DVW APRs - B1; 2018-19: HDD APR - Combination of W-B4 and B1</t>
  </si>
  <si>
    <t>2015-19: APRs - W-C1: Interruptions to water supply for more than 3 hours (average time per property per year)</t>
  </si>
  <si>
    <t>2015-18: SVT APRs - W-B4; 2018-19: SVE APR - Combination of W-B4 and B1</t>
  </si>
  <si>
    <t>2015-19: APRs - W-A5: Duration of interruptions in supply &amp; B3: Decreasing average interruptions &gt;3 hours</t>
  </si>
  <si>
    <t>2015-17: APRs - 4: Interruptions to supply; 2017-19: Ofwat query SRN-FD-SD-001 Dated 18/09/19</t>
  </si>
  <si>
    <t>All as submitted to Discover Water: CCWater metric which is interruptions per property for 3 hours or longer</t>
  </si>
  <si>
    <t>2012-15</t>
  </si>
  <si>
    <t>2015-19: APRs - B1: Average minutes supply lost per property (a year)</t>
  </si>
  <si>
    <t>2015-19: APRs - D3: Water supply interruptions (&gt; 3 hours including planned, unplanned and third party interruptions)</t>
  </si>
  <si>
    <t>2015-19: APRs - WB2: Water supply interruptions</t>
  </si>
  <si>
    <t>2015-19: Discover Water - Interruptions per property longer than 3 hours</t>
  </si>
  <si>
    <t>2015-19: APRs - C1: Interruptions to supply</t>
  </si>
  <si>
    <t>2015-19: APRs - G2: Average time lost per property (measured in minutes, per property served)</t>
  </si>
  <si>
    <t>APRs - 2.1: Interruptions to supply (combined company)</t>
  </si>
  <si>
    <t>2015-19: APRs - A3: Supply interruptions &gt;3 hours</t>
  </si>
  <si>
    <t>Industry (weighted average)</t>
  </si>
  <si>
    <t>Connected properties for water services (000s)</t>
  </si>
  <si>
    <t>Table 4Q.8 Total connected properties at year end; BON:</t>
  </si>
  <si>
    <t>2015-18: DVW; 2018-19: HDD</t>
  </si>
  <si>
    <t>2015-18: SVT; 2018-19: SVE</t>
  </si>
  <si>
    <t>DWI - Acceptability of water to consumers - Rate per 1,000 population:</t>
  </si>
  <si>
    <t>2012-14</t>
  </si>
  <si>
    <t>2014-16</t>
  </si>
  <si>
    <t>2016-19</t>
  </si>
  <si>
    <t>(includes Hartlepool)</t>
  </si>
  <si>
    <t>2016-18</t>
  </si>
  <si>
    <t>(DVW prior to 2018-19)</t>
  </si>
  <si>
    <t>2016-19 (NNE)</t>
  </si>
  <si>
    <t>2016-19 (ESK)</t>
  </si>
  <si>
    <t>2019-20 (NNE)</t>
  </si>
  <si>
    <t>2019-20 (ESK)</t>
  </si>
  <si>
    <t>(Combination of Northumbrian and Essex &amp; Suffolk)</t>
  </si>
  <si>
    <t>(SVT prior to 2018-19)</t>
  </si>
  <si>
    <t>2016-19 (SWT)</t>
  </si>
  <si>
    <t>2016-19 (SBW)</t>
  </si>
  <si>
    <t>2019-20 (SWT)</t>
  </si>
  <si>
    <t>2019-20 (SBW)</t>
  </si>
  <si>
    <t>(Combination of South West and Bournemouth)</t>
  </si>
  <si>
    <t>2016-19 (SST)</t>
  </si>
  <si>
    <t>2016-19 (CAM)</t>
  </si>
  <si>
    <t>2019-20 (SST)</t>
  </si>
  <si>
    <t>2019-20 (CAM)</t>
  </si>
  <si>
    <t>(Combination of South Staffs and Cambridge)</t>
  </si>
  <si>
    <t>DWI - Acceptability of water to consumers - Total number:</t>
  </si>
  <si>
    <t>Internal sewer flooding incidents</t>
  </si>
  <si>
    <t>APRs - S-A2: Properties flooded internally from sewers - three-year average (reduction)</t>
  </si>
  <si>
    <t>APRs - D3: Internal sewer flooding - properties flooded in the year</t>
  </si>
  <si>
    <t>APRs - S-A1: Number of internal sewer flooding incidents</t>
  </si>
  <si>
    <t>APRs - S-B2: Properties flooded internally + S-B5: Transferred drains and sewers - internal sewer flooding</t>
  </si>
  <si>
    <t>APRs - S-A1: Internal sewer flooding incidents</t>
  </si>
  <si>
    <t>APRs - 2: Internal flooding incidents</t>
  </si>
  <si>
    <t>2014/15: investigation concluded later in 2016 and presented to Ofwat at a meeting on 1 August 2016; 2015/16: restated in the AR17 commentary file; APRs - SB4: Number of internal flooding incidents, excluding those due to overloaded sewers (SFOC)</t>
  </si>
  <si>
    <t>APRs: Table 3B - S-B2: Sewer flooding index, Properties flooded due to other causes + Properties flooded due to hydraulic overload</t>
  </si>
  <si>
    <t>APRs - C1: Internal flooding incidents</t>
  </si>
  <si>
    <t>APRs - SA1: Internal sewer flooding incidents</t>
  </si>
  <si>
    <t>Properties connected to wastewater services (000s)</t>
  </si>
  <si>
    <t xml:space="preserve">Table 4U.10 Total number of properties (000s); BON: </t>
  </si>
  <si>
    <t>Natural Resources Wales (Cyfoeth Naturiol Cymru) - Annual Performance Report for Dŵr Cymru (Welsh Water)</t>
  </si>
  <si>
    <t>-</t>
  </si>
  <si>
    <t>Natural Resources Wales (Cyfoeth Naturiol Cymru) - Annual Performance Report for Hafren Dyfrdwy</t>
  </si>
  <si>
    <t>Performance commitments met</t>
  </si>
  <si>
    <t>Number of performance commitments</t>
  </si>
  <si>
    <t>Number of performance commitments achieved</t>
  </si>
  <si>
    <t>Operational performance - ODI out / (under) performance</t>
  </si>
  <si>
    <t>Incentive payments - Leakage</t>
  </si>
  <si>
    <t>APRs - Table 3A: outperformance payment or underperformance payment - in-period ODIs &amp; ODIs payable at the end of AMP6</t>
  </si>
  <si>
    <t>Incentive payments - Supply interruptions</t>
  </si>
  <si>
    <t>Incentive payments - Internal sewer flooding</t>
  </si>
  <si>
    <t>Incentive payments - Pollution incidents</t>
  </si>
  <si>
    <t>Incentive payments - Others</t>
  </si>
  <si>
    <t>Notional Regulatory Equity</t>
  </si>
  <si>
    <t>Source:</t>
  </si>
  <si>
    <t>As stated in APRs</t>
  </si>
  <si>
    <t>On same basis</t>
  </si>
  <si>
    <t>Leakage (performance commitment)</t>
  </si>
  <si>
    <t>Megalitres / day</t>
  </si>
  <si>
    <t>W-C4: Leakage (Ml/d) Northumbrian area + W-C5: Leakage (Ml/d) Essex &amp; Suffolk area</t>
  </si>
  <si>
    <t>4.1: Leakage (South Staffordshire operating region) + 4.2: Leakage (Cambridge operating region)</t>
  </si>
  <si>
    <t>Ml/d annual average</t>
  </si>
  <si>
    <t>Ml/d variance from target</t>
  </si>
  <si>
    <t>litres/prop/d</t>
  </si>
  <si>
    <t>Leakage (actual performance)</t>
  </si>
  <si>
    <t>Per capita consumption (PCC)</t>
  </si>
  <si>
    <t>PCC (performance commitment)</t>
  </si>
  <si>
    <t>litres/head/day</t>
  </si>
  <si>
    <t>Litres per person per day (l/p/d)</t>
  </si>
  <si>
    <t>Litres per household per day (l/hh/d)</t>
  </si>
  <si>
    <t>Litres per head per day (l/h/d)</t>
  </si>
  <si>
    <t>Litres per capita per day</t>
  </si>
  <si>
    <t>PCC (actual performance)</t>
  </si>
  <si>
    <t>ANH APR page 86 (paragraph #35) provides per household totals</t>
  </si>
  <si>
    <t>Supply interruptions (performance commitment)</t>
  </si>
  <si>
    <t>Mins / property</t>
  </si>
  <si>
    <t>Supply interruptions (actual performance)</t>
  </si>
  <si>
    <t>Water quality contacts (performance commitment)</t>
  </si>
  <si>
    <t>per 1,000 population</t>
  </si>
  <si>
    <t>No. per 1,000 population</t>
  </si>
  <si>
    <t>No. of contacts per year</t>
  </si>
  <si>
    <t>No. of complaints per year</t>
  </si>
  <si>
    <t>No. contacts per 1,000 population served</t>
  </si>
  <si>
    <t>No. of contacts per 1,000 population</t>
  </si>
  <si>
    <t>Unwanted customer contacts for water quality (nr per year)</t>
  </si>
  <si>
    <t>No. contacts in the year about drinking water quality</t>
  </si>
  <si>
    <t>No. of contacts</t>
  </si>
  <si>
    <t>No. of water quality complaints</t>
  </si>
  <si>
    <t>Water quality contacts (actual performance)</t>
  </si>
  <si>
    <t>Internal sewer flooding (performance commitment)</t>
  </si>
  <si>
    <t>No. of properties flooded internally per year</t>
  </si>
  <si>
    <t>Internal sewer flooding (actual performance)</t>
  </si>
  <si>
    <t>Pollution incidents (performance commitment)</t>
  </si>
  <si>
    <t>No. of pollution incidents (cat 3)</t>
  </si>
  <si>
    <t>No. of pollution incidents (cats 1, 2 and 3)</t>
  </si>
  <si>
    <t>No. of pollution incidents (cats 1 and 2)</t>
  </si>
  <si>
    <t>No. of pollution incidents (cats 3 and 4)</t>
  </si>
  <si>
    <t>Pollution incidents (actual performance)</t>
  </si>
  <si>
    <t>Year by year wholesale totex outperformance</t>
  </si>
  <si>
    <t>Total wholesale actuals</t>
  </si>
  <si>
    <t>Total wholesale allowed</t>
  </si>
  <si>
    <t>Total wholesale outperformance</t>
  </si>
  <si>
    <t>Total wholesale outperformance (%)</t>
  </si>
  <si>
    <t>Cumulative wholesale totex outperformance</t>
  </si>
  <si>
    <t>Allowed revenue calculations</t>
  </si>
  <si>
    <t>Outturn allowed retail service revenue for unmeasured water customer</t>
  </si>
  <si>
    <t>Outturn allowed retail service revenue for unmeasured sewerage customer</t>
  </si>
  <si>
    <t>Outturn allowed retail service revenue for unmeasured dual service customer</t>
  </si>
  <si>
    <t>Outturn allowed retail service revenue for measured water customer</t>
  </si>
  <si>
    <t>Outturn allowed retail service revenue for measured sewerage customer</t>
  </si>
  <si>
    <t>Outturn allowed retail service revenue for measured dual service customer</t>
  </si>
  <si>
    <t>Allowed revenue - total</t>
  </si>
  <si>
    <t>Cost out or under performance calculations</t>
  </si>
  <si>
    <t>Adjusted allowed revenue (implied cost allowance)</t>
  </si>
  <si>
    <t>Cost out or under performance</t>
  </si>
  <si>
    <t>Cumulative calculations</t>
  </si>
  <si>
    <t>Allowed cost</t>
  </si>
  <si>
    <t xml:space="preserve">Actual cost </t>
  </si>
  <si>
    <t>Out or under performance</t>
  </si>
  <si>
    <t>% Out or under performance</t>
  </si>
  <si>
    <t>Net Change</t>
  </si>
  <si>
    <t>Net change (from 2012-13)</t>
  </si>
  <si>
    <t>Leakage (cubic metres per km of water main per day)</t>
  </si>
  <si>
    <t>As %</t>
  </si>
  <si>
    <t>Total consumption per day</t>
  </si>
  <si>
    <t>Property minutes (millions)</t>
  </si>
  <si>
    <t>Net change (from 2014-15)</t>
  </si>
  <si>
    <t>Internal sewer flooding incidents per 10,000 properties</t>
  </si>
  <si>
    <t>Total incentive payments</t>
  </si>
  <si>
    <t>Operational performance - ODI out / (under) performance - Actual returns and notional regulatory equity</t>
  </si>
  <si>
    <t>Performance metrics as stated in Annual Performance Report Table 3A</t>
  </si>
  <si>
    <t>Performance metrics on equivalent basis</t>
  </si>
  <si>
    <t>No. of PCs</t>
  </si>
  <si>
    <t>Actual</t>
  </si>
  <si>
    <t>Target</t>
  </si>
  <si>
    <t>Pass/Fail</t>
  </si>
  <si>
    <t>Pass Rate</t>
  </si>
  <si>
    <t>PC1</t>
  </si>
  <si>
    <t>PC2</t>
  </si>
  <si>
    <t>Wholesale totex outperformance</t>
  </si>
  <si>
    <t>Residential retail totex outperformance</t>
  </si>
  <si>
    <t>Quartile</t>
  </si>
  <si>
    <t>Upper Quartile</t>
  </si>
  <si>
    <t>Lower Quartile</t>
  </si>
  <si>
    <t>% change</t>
  </si>
  <si>
    <t>ODI out / (under) performance</t>
  </si>
  <si>
    <t>Wholesale totex</t>
  </si>
  <si>
    <t>Underspend and overspend: cumulative wholesale totex performance</t>
  </si>
  <si>
    <t>Page 7</t>
  </si>
  <si>
    <t>Cumulative actual wholesale totex (£m)</t>
  </si>
  <si>
    <t>Cumulative wholesale totex allowance (£m)</t>
  </si>
  <si>
    <t>Long-term trends in wholesale totex performance</t>
  </si>
  <si>
    <t>Page 8</t>
  </si>
  <si>
    <t>Annual outperformance as a % of annual allowed wholesale totex</t>
  </si>
  <si>
    <t>Cumulative outperformance as a % of cumulative allowed wholesale totex</t>
  </si>
  <si>
    <t xml:space="preserve">Residential retail totex </t>
  </si>
  <si>
    <t>Underspend and overspend: cumulative residential retail totex performance</t>
  </si>
  <si>
    <t>Page 9</t>
  </si>
  <si>
    <t>Cumulative actual residential retail totex (£m)</t>
  </si>
  <si>
    <t>Cumulative residential retail totex allowance (£m)</t>
  </si>
  <si>
    <t>Page 10</t>
  </si>
  <si>
    <t>Performance</t>
  </si>
  <si>
    <t>Upper quartile</t>
  </si>
  <si>
    <t>Lower quartile</t>
  </si>
  <si>
    <t>Meeting performance commitment levels</t>
  </si>
  <si>
    <t>Page 12</t>
  </si>
  <si>
    <t>Earning financial incentives - ODI returns</t>
  </si>
  <si>
    <t>Page 13</t>
  </si>
  <si>
    <t>Actual return as a % of notional regulated equity</t>
  </si>
  <si>
    <t>Page 15</t>
  </si>
  <si>
    <t>Performance against targets</t>
  </si>
  <si>
    <t>In 2018-19 &amp; compared to 2017-18</t>
  </si>
  <si>
    <t>2018-19 performance (ml/d)</t>
  </si>
  <si>
    <t>2018-19 target (ml/d)</t>
  </si>
  <si>
    <t>Total litres per km of main</t>
  </si>
  <si>
    <t>Page 17</t>
  </si>
  <si>
    <t>2018-19 performance (mins/ property)</t>
  </si>
  <si>
    <t>2018-19 target (mins/ property)</t>
  </si>
  <si>
    <t>Page 19</t>
  </si>
  <si>
    <t>2018-19 performance (rate per 1,000 population)</t>
  </si>
  <si>
    <t>2018-19 target (rate per 1,000 population)</t>
  </si>
  <si>
    <t>Page 21</t>
  </si>
  <si>
    <t>2018-19 performance (incidents)</t>
  </si>
  <si>
    <t>2018-19 target (incidents)</t>
  </si>
  <si>
    <t>Incidents per 10,000 properties</t>
  </si>
  <si>
    <t>Page 23</t>
  </si>
  <si>
    <t>Category 1-3 incidents per 10,000 km of sewer</t>
  </si>
  <si>
    <t>Rank</t>
  </si>
  <si>
    <t>ODI returns</t>
  </si>
  <si>
    <t>Page 14</t>
  </si>
  <si>
    <t>Others</t>
  </si>
  <si>
    <t>Net payment</t>
  </si>
  <si>
    <t>Sector 2015-16</t>
  </si>
  <si>
    <t>Sector 2016-17</t>
  </si>
  <si>
    <t>Sector 2017-18</t>
  </si>
  <si>
    <t>Sector 2018-19</t>
  </si>
  <si>
    <t>ODI RoRE</t>
  </si>
  <si>
    <t>Total industry leakage (Megalitres per day 000s)</t>
  </si>
  <si>
    <t>Total industry consumption (Megalitres per day 000s)</t>
  </si>
  <si>
    <t>Page 18</t>
  </si>
  <si>
    <t>Total industry supply interruption property minutes (millions)</t>
  </si>
  <si>
    <t>Page 20</t>
  </si>
  <si>
    <t>Total industry water quality contacts (thousands)</t>
  </si>
  <si>
    <t>Page 22</t>
  </si>
  <si>
    <t>Total number of sewer flooding incidents (000s)</t>
  </si>
  <si>
    <t>SVE + HDD</t>
  </si>
  <si>
    <t>Page 24</t>
  </si>
  <si>
    <t>Total number of category 1-3 pollution incidents (000s)</t>
  </si>
  <si>
    <t>Linked to normalised data</t>
  </si>
  <si>
    <t>Average</t>
  </si>
  <si>
    <t>PR14 average RoRE performance on outcomes</t>
  </si>
  <si>
    <t>SIM adjustment - Household retail £m</t>
  </si>
  <si>
    <t>C_R10009_PR19PD009</t>
  </si>
  <si>
    <t>Total</t>
  </si>
  <si>
    <t>As % of average Regulatory Equity</t>
  </si>
  <si>
    <t>SIM adjustment - Household retail as % of average Regulatory Equity</t>
  </si>
  <si>
    <t>% change since 2012-13</t>
  </si>
  <si>
    <t>Bathing water</t>
  </si>
  <si>
    <t>Bathing water (performance commitment)</t>
  </si>
  <si>
    <t>% change since 2012</t>
  </si>
  <si>
    <t>% change since 2018</t>
  </si>
  <si>
    <t>▲▲</t>
  </si>
  <si>
    <t>▼▼</t>
  </si>
  <si>
    <t>No change to quartile</t>
  </si>
  <si>
    <t>Improved one quartile</t>
  </si>
  <si>
    <t>Improved two quartiles</t>
  </si>
  <si>
    <t>Deteriorated one quartile</t>
  </si>
  <si>
    <t>Deteriorated two quartiles</t>
  </si>
  <si>
    <t>Shadow year C-MeX scores</t>
  </si>
  <si>
    <t>Customer satisfaction</t>
  </si>
  <si>
    <t>Customer service - C-Mex</t>
  </si>
  <si>
    <t>Arrows (OUTPUT│Summary)</t>
  </si>
  <si>
    <t>Arrows (OUTPUT│Totex &amp; OUTPUT│Performance Commitments)</t>
  </si>
  <si>
    <t>◄►</t>
  </si>
  <si>
    <t>Stable performance</t>
  </si>
  <si>
    <t>2018-19 target (l/h/d)</t>
  </si>
  <si>
    <t>2018-19 performance (l/h/d)</t>
  </si>
  <si>
    <t>Litres per head per day</t>
  </si>
  <si>
    <t>Sector 2019-20</t>
  </si>
  <si>
    <t>Improved by 2 quartiles</t>
  </si>
  <si>
    <t>Improved 1 quartile</t>
  </si>
  <si>
    <t>No quartile change</t>
  </si>
  <si>
    <t>Deteriorated 1 quartile</t>
  </si>
  <si>
    <t>Deteriorated 2 quartiles</t>
  </si>
  <si>
    <t>Percentage of bathing waters attaining excellent status</t>
  </si>
  <si>
    <t>Bathing water compliance</t>
  </si>
  <si>
    <t>No. of bathing waters meeting or exceeding agreed standard</t>
  </si>
  <si>
    <t>Number of bathing water with excellent quality (part 2)</t>
  </si>
  <si>
    <t>Number of bathing water with excellent quality (part 1)</t>
  </si>
  <si>
    <t>bathing water part 3 (£million scheme)</t>
  </si>
  <si>
    <t>Contribution to bathing waters improved (includes NEP phase 3&amp;4 bathing water intermittent discharge projects)</t>
  </si>
  <si>
    <t>Agreed schemes delivered (named outputs with bathing water drivers in the NEP)</t>
  </si>
  <si>
    <t>Number of designated bathing waters that exceed the required quality standard</t>
  </si>
  <si>
    <t>River improvements</t>
  </si>
  <si>
    <t>River improvements (performance commitment)</t>
  </si>
  <si>
    <t>The number of improvements in river water quality against WFD criteria</t>
  </si>
  <si>
    <t>Kilometres (km) of river water quality improved</t>
  </si>
  <si>
    <t>Length of rivers improved through the water programme (cumulative)</t>
  </si>
  <si>
    <t xml:space="preserve">Length of rivers protected from deterioration </t>
  </si>
  <si>
    <t xml:space="preserve">Length of rivers improved through the wastewater programme </t>
  </si>
  <si>
    <t>Reduce the amount of phosphorus entering rivers to help improve aquatic plant and wildlife (Kilograms of phosphorus removed per day)</t>
  </si>
  <si>
    <t>No. water bodies improved through WwTW investments</t>
  </si>
  <si>
    <t>Length of rivers with improved flows (cumulative)</t>
  </si>
  <si>
    <t>Length of river improved (against WFD component measures) (wastewater)</t>
  </si>
  <si>
    <t>length of river improved (water)</t>
  </si>
  <si>
    <t>S-D1: Protecting rivers from deterioration due to population growth (includes Davyhulme)</t>
  </si>
  <si>
    <t>Biodiversity</t>
  </si>
  <si>
    <t>Biodiversity (performance commitment)</t>
  </si>
  <si>
    <t>% (completion of agreed actions)</t>
  </si>
  <si>
    <t>Cumulative total hectares of land under management per year (combined company)</t>
  </si>
  <si>
    <t>No. of hectares improved</t>
  </si>
  <si>
    <t>% WSX landholding assessed &amp; managed for biodiversity</t>
  </si>
  <si>
    <t xml:space="preserve">Amount of land conserved and enhanced (total cumulative area - hectares) </t>
  </si>
  <si>
    <t xml:space="preserve">Proportion of waste diverted from landfill (re-used and recycled) </t>
  </si>
  <si>
    <t>W-D3: Biodiversity, S-C4: Biodiversity</t>
  </si>
  <si>
    <t>‘biodiversity index’</t>
  </si>
  <si>
    <t>Bathing water (actual performance)</t>
  </si>
  <si>
    <t>River improvements (actual performance)</t>
  </si>
  <si>
    <t>Biodiversity (actual performance)</t>
  </si>
  <si>
    <t>Carbon emissions</t>
  </si>
  <si>
    <t>Carbon emissions (performance commitment)</t>
  </si>
  <si>
    <t>Carbon emissions (actual performance)</t>
  </si>
  <si>
    <t xml:space="preserve">Across company reduction in gross operational GHG submissions against a 2014-15 baseline </t>
  </si>
  <si>
    <t xml:space="preserve">Across company reduction in capital carbon against a 2010 baseline </t>
  </si>
  <si>
    <t>Size of our carbon footprint (ktCO2e) - water</t>
  </si>
  <si>
    <t>Size of our carbon footprint (ktCO2e) - wastewater</t>
  </si>
  <si>
    <t>Gross operational greenhouse gas emissions (tCO2e)</t>
  </si>
  <si>
    <t xml:space="preserve"> Gross operational greenhouse gas emissions (tCO2e)</t>
  </si>
  <si>
    <t>Across company greenhouse gas emissions  (ktCO2e)</t>
  </si>
  <si>
    <t>Reduce energy use in water delivery (kilowatt hours per megalitre)</t>
  </si>
  <si>
    <t>Operational carbon emissions (ktCO2e) - Water</t>
  </si>
  <si>
    <t>Operational carbon emissions (ktCO2e) - Wastewater</t>
  </si>
  <si>
    <t>WC1: Greenhouse gas emissions from water operations (ktCO2e)</t>
  </si>
  <si>
    <t>SC1: Greenhouse gas emissions from wastewater operations (ktCO2e)</t>
  </si>
  <si>
    <t>Greenhouse gas emissions (annual greenhouse gas emissions from operational services)</t>
  </si>
  <si>
    <t>Total carbon emissions (kgCO2e per person)</t>
  </si>
  <si>
    <t>Kg of carbon emissions per customer per year</t>
  </si>
  <si>
    <t xml:space="preserve">Carbon emissions from power consumption (tonnes CO2e in real savings)  </t>
  </si>
  <si>
    <t>Greenhouse gas emissions per million litres of water supplied</t>
  </si>
  <si>
    <t>Renewables</t>
  </si>
  <si>
    <t>Renewables (performance commitment)</t>
  </si>
  <si>
    <t>Renewables (actual performance)</t>
  </si>
  <si>
    <t>gigawatt-hours (GWh) of renewable energy generated - water</t>
  </si>
  <si>
    <t>gigawatt-hours (GWh) of renewable energy generated - wastewater</t>
  </si>
  <si>
    <t>% energy from renewable sources - water</t>
  </si>
  <si>
    <t>% energy from renewable sources - wastewater</t>
  </si>
  <si>
    <t>% of energy from renewable sources</t>
  </si>
  <si>
    <t>Energy imported less energy exported - water (GWh)</t>
  </si>
  <si>
    <t>Energy imported less energy exported - wastewater (GWh)</t>
  </si>
  <si>
    <t>Proportion of energy self-generated</t>
  </si>
  <si>
    <t>Proportion of energy used generated by renewable technology across the company.</t>
  </si>
  <si>
    <t>% increase in energy sourced from renewables</t>
  </si>
  <si>
    <t>&gt; 95%</t>
  </si>
  <si>
    <t>Commitment</t>
  </si>
  <si>
    <t>W-F1, S-F1, R-E1: Greenhouse gas emissions</t>
  </si>
  <si>
    <t>Down</t>
  </si>
  <si>
    <t>W-F1, S-D1, R-C1: Operational carbon (% reduction from 2015 baseline)</t>
  </si>
  <si>
    <t>W-F2, S-D2, R-C2: Embodied carbon (% reduction from 2010 baseline)</t>
  </si>
  <si>
    <t>Up</t>
  </si>
  <si>
    <t>WD1, SC1, RC1: Proportion of energy use generated by renewable technology</t>
  </si>
  <si>
    <t>Direction of improving performance</t>
  </si>
  <si>
    <t>Commitment met?</t>
  </si>
  <si>
    <t>Environmental commitments</t>
  </si>
  <si>
    <t>Target met</t>
  </si>
  <si>
    <t>Target failed</t>
  </si>
  <si>
    <t>Change</t>
  </si>
  <si>
    <t>Performance commitments met (%)</t>
  </si>
  <si>
    <t>Movement</t>
  </si>
  <si>
    <t>No./1,000 pop</t>
  </si>
  <si>
    <t>No./10,000 km</t>
  </si>
  <si>
    <t>Page 11</t>
  </si>
  <si>
    <t>Page 25</t>
  </si>
  <si>
    <t>Page 28</t>
  </si>
  <si>
    <t>Page 29</t>
  </si>
  <si>
    <t>Page 30</t>
  </si>
  <si>
    <t>Page 31</t>
  </si>
  <si>
    <t>Page 26</t>
  </si>
  <si>
    <t>Model updated for 2019/20</t>
  </si>
  <si>
    <t>Other measures</t>
  </si>
  <si>
    <t>This model contains all of the data and analyses used in the publication of Ofwat's 2020 Service Delivery Report.
The purpose of this model is to assess industry performance against performance commitments and to analyse long term trends in key performance measures.
The model is broadly split into: wholesale total expenditure (totex), residential retail costs, and outcomes measures. Each of these has seperate input and calculation sheets used to produce the tables and charts used in the Service Delivery Report.</t>
  </si>
  <si>
    <t>C-MeX score</t>
  </si>
  <si>
    <t>• C-MeX 2019-20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</si>
</sst>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0;\-#,##0.00;\-"/>
    <numFmt numFmtId="165" formatCode="#,##0;\-#,##0;\-"/>
    <numFmt numFmtId="166" formatCode="0.00%;\-0.00%;\-"/>
    <numFmt numFmtId="167" formatCode="#,##0.00_ ;\-#,##0.00\ "/>
    <numFmt numFmtId="168" formatCode="0%;\-0%;\-"/>
    <numFmt numFmtId="169" formatCode="0.0%"/>
    <numFmt numFmtId="170" formatCode="0.0%;\-0.0%;\-"/>
    <numFmt numFmtId="171" formatCode="#,##0.000000000000_ ;\-#,##0.000000000000\ "/>
    <numFmt numFmtId="172" formatCode="#,##0.0;\-#,##0.0;\-"/>
    <numFmt numFmtId="173" formatCode="dd\ mmm\ yyyy"/>
    <numFmt numFmtId="174" formatCode="0.0"/>
    <numFmt numFmtId="175" formatCode="0.0000"/>
    <numFmt numFmtId="176" formatCode="0.000"/>
    <numFmt numFmtId="177" formatCode="#,##0.0"/>
  </numFmts>
  <fonts count="60" x14ac:knownFonts="1">
    <font>
      <sz val="11"/>
      <color theme="1"/>
      <name val="Arial"/>
      <family val="2"/>
    </font>
    <font>
      <sz val="11"/>
      <color theme="1"/>
      <name val="Arial"/>
      <family val="2"/>
    </font>
    <font>
      <sz val="10"/>
      <color theme="1"/>
      <name val="Arial"/>
      <family val="2"/>
      <scheme val="minor"/>
    </font>
    <font>
      <b/>
      <sz val="10"/>
      <color theme="1"/>
      <name val="Arial"/>
      <family val="2"/>
      <scheme val="minor"/>
    </font>
    <font>
      <b/>
      <i/>
      <sz val="10"/>
      <color theme="1"/>
      <name val="Arial"/>
      <family val="2"/>
      <scheme val="minor"/>
    </font>
    <font>
      <b/>
      <sz val="10"/>
      <name val="Arial"/>
      <family val="2"/>
      <scheme val="minor"/>
    </font>
    <font>
      <b/>
      <i/>
      <sz val="10"/>
      <name val="Arial"/>
      <family val="2"/>
      <scheme val="minor"/>
    </font>
    <font>
      <i/>
      <sz val="10"/>
      <color theme="0" tint="-0.499984740745262"/>
      <name val="Arial"/>
      <family val="2"/>
      <scheme val="minor"/>
    </font>
    <font>
      <b/>
      <i/>
      <sz val="10"/>
      <color theme="0" tint="-0.499984740745262"/>
      <name val="Arial"/>
      <family val="2"/>
      <scheme val="minor"/>
    </font>
    <font>
      <sz val="10"/>
      <color theme="1"/>
      <name val="Arial"/>
      <family val="2"/>
    </font>
    <font>
      <sz val="10"/>
      <color theme="0"/>
      <name val="Franklin Gothic Demi"/>
      <family val="2"/>
      <scheme val="major"/>
    </font>
    <font>
      <i/>
      <sz val="10"/>
      <color theme="3"/>
      <name val="Arial"/>
      <family val="2"/>
      <scheme val="minor"/>
    </font>
    <font>
      <sz val="10"/>
      <color theme="3"/>
      <name val="Arial"/>
      <family val="2"/>
      <scheme val="minor"/>
    </font>
    <font>
      <i/>
      <sz val="10"/>
      <color theme="0"/>
      <name val="Franklin Gothic Demi"/>
      <family val="2"/>
      <scheme val="major"/>
    </font>
    <font>
      <i/>
      <sz val="10"/>
      <color theme="1"/>
      <name val="Arial"/>
      <family val="2"/>
    </font>
    <font>
      <b/>
      <sz val="10"/>
      <color theme="1"/>
      <name val="Arial"/>
      <family val="2"/>
    </font>
    <font>
      <b/>
      <i/>
      <sz val="10"/>
      <color theme="1"/>
      <name val="Arial"/>
      <family val="2"/>
    </font>
    <font>
      <i/>
      <sz val="10"/>
      <color theme="1"/>
      <name val="Arial"/>
      <family val="2"/>
      <scheme val="minor"/>
    </font>
    <font>
      <i/>
      <sz val="10"/>
      <color theme="3"/>
      <name val="Franklin Gothic Demi"/>
      <family val="2"/>
      <scheme val="major"/>
    </font>
    <font>
      <sz val="10"/>
      <color theme="3"/>
      <name val="Franklin Gothic Demi"/>
      <family val="2"/>
      <scheme val="major"/>
    </font>
    <font>
      <sz val="10"/>
      <color theme="1"/>
      <name val="Franklin Gothic Demi"/>
      <family val="2"/>
      <scheme val="major"/>
    </font>
    <font>
      <sz val="10"/>
      <name val="Franklin Gothic Demi"/>
      <family val="2"/>
      <scheme val="major"/>
    </font>
    <font>
      <sz val="10"/>
      <name val="Arial"/>
      <family val="2"/>
      <scheme val="minor"/>
    </font>
    <font>
      <i/>
      <sz val="10"/>
      <color theme="1"/>
      <name val="Franklin Gothic Demi"/>
      <family val="2"/>
      <scheme val="major"/>
    </font>
    <font>
      <sz val="10"/>
      <color theme="4"/>
      <name val="Arial"/>
      <family val="2"/>
    </font>
    <font>
      <sz val="10"/>
      <name val="Arial"/>
      <family val="2"/>
    </font>
    <font>
      <i/>
      <sz val="8"/>
      <color theme="1"/>
      <name val="Arial"/>
      <family val="2"/>
    </font>
    <font>
      <sz val="10"/>
      <color theme="7"/>
      <name val="Arial"/>
      <family val="2"/>
    </font>
    <font>
      <b/>
      <sz val="10"/>
      <color rgb="FFFFFFFF"/>
      <name val="Arial"/>
      <family val="2"/>
    </font>
    <font>
      <sz val="10"/>
      <color theme="3"/>
      <name val="Franklin Gothic Demi"/>
      <family val="2"/>
    </font>
    <font>
      <u/>
      <sz val="11"/>
      <color theme="10"/>
      <name val="Arial"/>
      <family val="2"/>
    </font>
    <font>
      <i/>
      <sz val="10"/>
      <color theme="0" tint="-0.499984740745262"/>
      <name val="Arial"/>
      <family val="2"/>
    </font>
    <font>
      <i/>
      <sz val="10"/>
      <color theme="0"/>
      <name val="Arial"/>
      <family val="2"/>
      <scheme val="minor"/>
    </font>
    <font>
      <sz val="10"/>
      <color theme="0"/>
      <name val="Arial"/>
      <family val="2"/>
      <scheme val="minor"/>
    </font>
    <font>
      <i/>
      <u/>
      <sz val="10"/>
      <color theme="3"/>
      <name val="Arial"/>
      <family val="2"/>
      <scheme val="minor"/>
    </font>
    <font>
      <i/>
      <sz val="10"/>
      <color theme="1" tint="0.499984740745262"/>
      <name val="Arial"/>
      <family val="2"/>
      <scheme val="minor"/>
    </font>
    <font>
      <i/>
      <u/>
      <sz val="10"/>
      <color theme="10"/>
      <name val="Arial"/>
      <family val="2"/>
      <scheme val="minor"/>
    </font>
    <font>
      <i/>
      <sz val="10"/>
      <color theme="9"/>
      <name val="Arial"/>
      <family val="2"/>
      <scheme val="minor"/>
    </font>
    <font>
      <i/>
      <sz val="10"/>
      <name val="Arial"/>
      <family val="2"/>
      <scheme val="minor"/>
    </font>
    <font>
      <b/>
      <sz val="10"/>
      <name val="Arial"/>
      <family val="2"/>
    </font>
    <font>
      <b/>
      <i/>
      <sz val="10"/>
      <name val="Arial"/>
      <family val="2"/>
    </font>
    <font>
      <sz val="10"/>
      <color theme="0"/>
      <name val="Arial"/>
      <family val="2"/>
    </font>
    <font>
      <sz val="11"/>
      <color theme="1"/>
      <name val="Franklin Gothic Demi"/>
      <family val="2"/>
      <scheme val="major"/>
    </font>
    <font>
      <sz val="10"/>
      <color theme="8"/>
      <name val="Arial"/>
      <family val="2"/>
    </font>
    <font>
      <i/>
      <u/>
      <sz val="10"/>
      <color theme="4"/>
      <name val="Arial"/>
      <family val="2"/>
    </font>
    <font>
      <sz val="12"/>
      <color theme="0"/>
      <name val="Franklin Gothic Demi"/>
      <family val="2"/>
    </font>
    <font>
      <sz val="22"/>
      <color theme="0"/>
      <name val="Franklin Gothic Demi"/>
      <family val="2"/>
    </font>
    <font>
      <i/>
      <sz val="12"/>
      <color rgb="FF000000"/>
      <name val="Franklin Gothic Demi"/>
      <family val="2"/>
    </font>
    <font>
      <sz val="10"/>
      <color theme="0"/>
      <name val="Franklin Gothic Demi"/>
      <family val="2"/>
    </font>
    <font>
      <i/>
      <u/>
      <sz val="10"/>
      <color theme="10"/>
      <name val="Arial"/>
      <family val="2"/>
    </font>
    <font>
      <sz val="12"/>
      <color rgb="FFFF0000"/>
      <name val="Franklin Gothic Demi"/>
      <family val="2"/>
    </font>
    <font>
      <b/>
      <sz val="10"/>
      <color theme="0"/>
      <name val="Arial"/>
      <family val="2"/>
      <scheme val="minor"/>
    </font>
    <font>
      <sz val="11"/>
      <color theme="0"/>
      <name val="Franklin Gothic Demi"/>
      <family val="2"/>
      <scheme val="major"/>
    </font>
    <font>
      <sz val="10"/>
      <color theme="3"/>
      <name val="Arial"/>
      <family val="2"/>
    </font>
    <font>
      <sz val="11"/>
      <color theme="2"/>
      <name val="Franklin Gothic Demi"/>
      <family val="2"/>
      <scheme val="major"/>
    </font>
    <font>
      <sz val="10"/>
      <color theme="3" tint="-0.249977111117893"/>
      <name val="Arial"/>
      <family val="2"/>
    </font>
    <font>
      <sz val="10"/>
      <color theme="3" tint="-0.249977111117893"/>
      <name val="Franklin Gothic Demi"/>
      <family val="2"/>
      <scheme val="major"/>
    </font>
    <font>
      <i/>
      <u/>
      <sz val="10"/>
      <color theme="3"/>
      <name val="Arial"/>
      <family val="2"/>
    </font>
    <font>
      <sz val="10"/>
      <color theme="4"/>
      <name val="Arial"/>
      <family val="2"/>
      <scheme val="minor"/>
    </font>
    <font>
      <i/>
      <sz val="10"/>
      <name val="Arial"/>
      <family val="2"/>
    </font>
  </fonts>
  <fills count="21">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tint="-4.9989318521683403E-2"/>
        <bgColor indexed="64"/>
      </patternFill>
    </fill>
    <fill>
      <patternFill patternType="solid">
        <fgColor rgb="FFCBD6EB"/>
        <bgColor indexed="64"/>
      </patternFill>
    </fill>
    <fill>
      <patternFill patternType="solid">
        <fgColor rgb="FFE7ECF5"/>
        <bgColor indexed="64"/>
      </patternFill>
    </fill>
    <fill>
      <patternFill patternType="solid">
        <fgColor rgb="FFB0D1FF"/>
        <bgColor indexed="64"/>
      </patternFill>
    </fill>
    <fill>
      <patternFill patternType="solid">
        <fgColor theme="6"/>
        <bgColor indexed="64"/>
      </patternFill>
    </fill>
    <fill>
      <patternFill patternType="solid">
        <fgColor theme="7"/>
        <bgColor indexed="64"/>
      </patternFill>
    </fill>
    <fill>
      <patternFill patternType="solid">
        <fgColor theme="3"/>
        <bgColor auto="1"/>
      </patternFill>
    </fill>
    <fill>
      <patternFill patternType="solid">
        <fgColor rgb="FFB9C884"/>
        <bgColor indexed="64"/>
      </patternFill>
    </fill>
    <fill>
      <patternFill patternType="solid">
        <fgColor theme="8"/>
        <bgColor indexed="64"/>
      </patternFill>
    </fill>
    <fill>
      <patternFill patternType="solid">
        <fgColor rgb="FFC1DAF0"/>
        <bgColor indexed="64"/>
      </patternFill>
    </fill>
    <fill>
      <gradientFill degree="45">
        <stop position="0">
          <color theme="3"/>
        </stop>
        <stop position="1">
          <color theme="8"/>
        </stop>
      </gradientFill>
    </fill>
    <fill>
      <patternFill patternType="solid">
        <fgColor rgb="FF003479"/>
        <bgColor indexed="64"/>
      </patternFill>
    </fill>
    <fill>
      <patternFill patternType="solid">
        <fgColor theme="9"/>
        <bgColor indexed="64"/>
      </patternFill>
    </fill>
  </fills>
  <borders count="3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tint="-0.14999847407452621"/>
      </right>
      <top style="thin">
        <color theme="0" tint="-0.14996795556505021"/>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thin">
        <color indexed="64"/>
      </bottom>
      <diagonal/>
    </border>
    <border>
      <left/>
      <right/>
      <top/>
      <bottom style="thick">
        <color theme="0"/>
      </bottom>
      <diagonal/>
    </border>
    <border>
      <left/>
      <right/>
      <top style="thin">
        <color theme="0" tint="-0.14999847407452621"/>
      </top>
      <bottom style="thin">
        <color theme="0" tint="-0.14999847407452621"/>
      </bottom>
      <diagonal/>
    </border>
    <border>
      <left style="thin">
        <color theme="0"/>
      </left>
      <right style="thin">
        <color theme="0"/>
      </right>
      <top style="thin">
        <color theme="0"/>
      </top>
      <bottom style="thick">
        <color theme="0"/>
      </bottom>
      <diagonal/>
    </border>
    <border>
      <left style="thin">
        <color theme="0"/>
      </left>
      <right style="thin">
        <color theme="0"/>
      </right>
      <top/>
      <bottom style="thin">
        <color theme="0"/>
      </bottom>
      <diagonal/>
    </border>
    <border>
      <left style="thin">
        <color theme="0"/>
      </left>
      <right/>
      <top style="thin">
        <color theme="0"/>
      </top>
      <bottom style="thick">
        <color theme="0"/>
      </bottom>
      <diagonal/>
    </border>
    <border>
      <left style="thin">
        <color theme="0"/>
      </left>
      <right/>
      <top/>
      <bottom style="thin">
        <color theme="0"/>
      </bottom>
      <diagonal/>
    </border>
    <border>
      <left/>
      <right style="thin">
        <color theme="0"/>
      </right>
      <top style="thin">
        <color theme="0"/>
      </top>
      <bottom style="thick">
        <color theme="0"/>
      </bottom>
      <diagonal/>
    </border>
    <border>
      <left/>
      <right style="thin">
        <color theme="0"/>
      </right>
      <top/>
      <bottom style="thin">
        <color theme="0"/>
      </bottom>
      <diagonal/>
    </border>
    <border>
      <left style="thick">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style="thick">
        <color theme="0"/>
      </left>
      <right style="thin">
        <color theme="0"/>
      </right>
      <top/>
      <bottom style="thin">
        <color theme="0"/>
      </bottom>
      <diagonal/>
    </border>
    <border>
      <left style="thin">
        <color theme="0"/>
      </left>
      <right style="thick">
        <color theme="0"/>
      </right>
      <top/>
      <bottom style="thin">
        <color theme="0"/>
      </bottom>
      <diagonal/>
    </border>
    <border>
      <left style="thick">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style="thin">
        <color theme="0"/>
      </left>
      <right style="thin">
        <color theme="0"/>
      </right>
      <top/>
      <bottom/>
      <diagonal/>
    </border>
  </borders>
  <cellStyleXfs count="4">
    <xf numFmtId="0" fontId="0" fillId="0" borderId="0"/>
    <xf numFmtId="9" fontId="1" fillId="0" borderId="0" applyFont="0" applyFill="0" applyBorder="0" applyAlignment="0" applyProtection="0"/>
    <xf numFmtId="0" fontId="30" fillId="0" borderId="0" applyNumberFormat="0" applyFill="0" applyBorder="0" applyAlignment="0" applyProtection="0"/>
    <xf numFmtId="0" fontId="25" fillId="0" borderId="0"/>
  </cellStyleXfs>
  <cellXfs count="430">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10" fillId="2" borderId="0" xfId="0" applyFont="1" applyFill="1"/>
    <xf numFmtId="0" fontId="13" fillId="2" borderId="0" xfId="0" applyFont="1" applyFill="1"/>
    <xf numFmtId="0" fontId="14" fillId="0" borderId="0" xfId="0" applyFont="1"/>
    <xf numFmtId="0" fontId="15" fillId="0" borderId="0" xfId="0" applyFont="1"/>
    <xf numFmtId="0" fontId="16" fillId="0" borderId="0" xfId="0" applyFont="1"/>
    <xf numFmtId="164" fontId="9" fillId="0" borderId="1" xfId="0" applyNumberFormat="1" applyFont="1" applyFill="1" applyBorder="1"/>
    <xf numFmtId="165" fontId="9" fillId="0" borderId="1" xfId="0" applyNumberFormat="1" applyFont="1" applyFill="1" applyBorder="1"/>
    <xf numFmtId="0" fontId="17" fillId="0" borderId="0" xfId="0" applyFont="1"/>
    <xf numFmtId="0" fontId="15" fillId="6" borderId="0" xfId="0" applyFont="1" applyFill="1"/>
    <xf numFmtId="0" fontId="9" fillId="0" borderId="0" xfId="0" applyFont="1" applyAlignment="1"/>
    <xf numFmtId="0" fontId="3" fillId="0" borderId="0" xfId="0" applyFont="1" applyAlignment="1"/>
    <xf numFmtId="0" fontId="4" fillId="0" borderId="0" xfId="0" applyFont="1" applyAlignment="1"/>
    <xf numFmtId="0" fontId="2" fillId="0" borderId="0" xfId="0" applyFont="1" applyAlignment="1"/>
    <xf numFmtId="0" fontId="6" fillId="0" borderId="0" xfId="0" applyFont="1" applyAlignment="1"/>
    <xf numFmtId="0" fontId="7" fillId="0" borderId="0" xfId="0" applyFont="1" applyAlignment="1"/>
    <xf numFmtId="0" fontId="14" fillId="0" borderId="0" xfId="0" applyFont="1" applyAlignment="1">
      <alignment horizontal="right"/>
    </xf>
    <xf numFmtId="0" fontId="8" fillId="0" borderId="0" xfId="0" applyFont="1" applyAlignment="1"/>
    <xf numFmtId="0" fontId="7" fillId="0" borderId="0" xfId="0" applyFont="1" applyFill="1" applyAlignment="1"/>
    <xf numFmtId="0" fontId="14" fillId="0" borderId="0" xfId="0" applyFont="1" applyAlignment="1"/>
    <xf numFmtId="0" fontId="18" fillId="3" borderId="0" xfId="0" applyFont="1" applyFill="1"/>
    <xf numFmtId="0" fontId="19" fillId="3" borderId="0" xfId="0" applyFont="1" applyFill="1"/>
    <xf numFmtId="0" fontId="20" fillId="0" borderId="0" xfId="0" applyFont="1"/>
    <xf numFmtId="0" fontId="21" fillId="3" borderId="0" xfId="0" applyFont="1" applyFill="1"/>
    <xf numFmtId="0" fontId="20" fillId="3" borderId="0" xfId="0" applyFont="1" applyFill="1" applyAlignment="1"/>
    <xf numFmtId="0" fontId="23" fillId="3" borderId="0" xfId="0" applyFont="1" applyFill="1" applyAlignment="1"/>
    <xf numFmtId="0" fontId="5" fillId="6" borderId="0" xfId="0" applyFont="1" applyFill="1" applyAlignment="1"/>
    <xf numFmtId="0" fontId="22" fillId="6" borderId="0" xfId="0" applyFont="1" applyFill="1" applyAlignment="1"/>
    <xf numFmtId="0" fontId="11" fillId="6" borderId="0" xfId="0" applyFont="1" applyFill="1" applyAlignment="1"/>
    <xf numFmtId="0" fontId="12" fillId="6" borderId="0" xfId="0" applyFont="1" applyFill="1" applyAlignment="1"/>
    <xf numFmtId="0" fontId="20" fillId="3" borderId="0" xfId="0" applyFont="1" applyFill="1"/>
    <xf numFmtId="0" fontId="23" fillId="3" borderId="0" xfId="0" applyFont="1" applyFill="1"/>
    <xf numFmtId="0" fontId="9" fillId="0" borderId="0" xfId="0" applyFont="1" applyAlignment="1">
      <alignment horizontal="left" indent="1"/>
    </xf>
    <xf numFmtId="0" fontId="5" fillId="6" borderId="0" xfId="0" applyFont="1" applyFill="1"/>
    <xf numFmtId="0" fontId="22" fillId="6" borderId="0" xfId="0" applyFont="1" applyFill="1"/>
    <xf numFmtId="0" fontId="11" fillId="6" borderId="0" xfId="0" applyFont="1" applyFill="1"/>
    <xf numFmtId="0" fontId="12" fillId="6" borderId="0" xfId="0" applyFont="1" applyFill="1"/>
    <xf numFmtId="9" fontId="9" fillId="0" borderId="0" xfId="1" applyFont="1"/>
    <xf numFmtId="164" fontId="24" fillId="0" borderId="1" xfId="0" applyNumberFormat="1" applyFont="1" applyFill="1" applyBorder="1"/>
    <xf numFmtId="0" fontId="9" fillId="0" borderId="0" xfId="0" applyFont="1" applyAlignment="1">
      <alignment horizontal="right"/>
    </xf>
    <xf numFmtId="167" fontId="9" fillId="0" borderId="0" xfId="0" applyNumberFormat="1" applyFont="1"/>
    <xf numFmtId="0" fontId="9" fillId="0" borderId="0" xfId="0" applyFont="1" applyAlignment="1">
      <alignment vertical="top"/>
    </xf>
    <xf numFmtId="0" fontId="14" fillId="0" borderId="0" xfId="0" applyFont="1" applyAlignment="1">
      <alignment vertical="top"/>
    </xf>
    <xf numFmtId="0" fontId="2" fillId="0" borderId="0" xfId="0" applyFont="1" applyBorder="1" applyAlignment="1">
      <alignment horizontal="right" vertical="top" wrapText="1"/>
    </xf>
    <xf numFmtId="0" fontId="9" fillId="0" borderId="0" xfId="0" applyFont="1" applyAlignment="1">
      <alignment horizontal="right" vertical="center"/>
    </xf>
    <xf numFmtId="165" fontId="24" fillId="0" borderId="1" xfId="0" applyNumberFormat="1" applyFont="1" applyFill="1" applyBorder="1"/>
    <xf numFmtId="164" fontId="25" fillId="0" borderId="1" xfId="0" applyNumberFormat="1" applyFont="1" applyFill="1" applyBorder="1"/>
    <xf numFmtId="165" fontId="9" fillId="0" borderId="0" xfId="0" applyNumberFormat="1" applyFont="1"/>
    <xf numFmtId="0" fontId="10" fillId="2" borderId="0" xfId="0" applyFont="1" applyFill="1" applyAlignment="1">
      <alignment horizontal="right"/>
    </xf>
    <xf numFmtId="0" fontId="18" fillId="3" borderId="0" xfId="0" applyFont="1" applyFill="1" applyAlignment="1">
      <alignment horizontal="right"/>
    </xf>
    <xf numFmtId="166" fontId="9" fillId="0" borderId="1" xfId="0" applyNumberFormat="1" applyFont="1" applyFill="1" applyBorder="1" applyAlignment="1">
      <alignment horizontal="right"/>
    </xf>
    <xf numFmtId="0" fontId="19" fillId="3" borderId="0" xfId="0" applyFont="1" applyFill="1" applyAlignment="1">
      <alignment horizontal="right"/>
    </xf>
    <xf numFmtId="0" fontId="13" fillId="2" borderId="0" xfId="0" applyFont="1" applyFill="1" applyAlignment="1">
      <alignment horizontal="right"/>
    </xf>
    <xf numFmtId="168" fontId="9" fillId="0" borderId="1" xfId="0" applyNumberFormat="1" applyFont="1" applyFill="1" applyBorder="1"/>
    <xf numFmtId="2" fontId="9" fillId="0" borderId="0" xfId="0" applyNumberFormat="1" applyFont="1"/>
    <xf numFmtId="2" fontId="9" fillId="4" borderId="1" xfId="0" applyNumberFormat="1" applyFont="1" applyFill="1" applyBorder="1"/>
    <xf numFmtId="2" fontId="9" fillId="4" borderId="2" xfId="0" applyNumberFormat="1" applyFont="1" applyFill="1" applyBorder="1"/>
    <xf numFmtId="0" fontId="15" fillId="0" borderId="0" xfId="0" applyFont="1" applyAlignment="1">
      <alignment horizontal="right"/>
    </xf>
    <xf numFmtId="20" fontId="9" fillId="4" borderId="1" xfId="0" applyNumberFormat="1" applyFont="1" applyFill="1" applyBorder="1"/>
    <xf numFmtId="0" fontId="9" fillId="4" borderId="2" xfId="0" applyFont="1" applyFill="1" applyBorder="1"/>
    <xf numFmtId="0" fontId="9" fillId="4" borderId="1" xfId="0" applyFont="1" applyFill="1" applyBorder="1"/>
    <xf numFmtId="4" fontId="9" fillId="4" borderId="1" xfId="0" applyNumberFormat="1" applyFont="1" applyFill="1" applyBorder="1"/>
    <xf numFmtId="4" fontId="9" fillId="0" borderId="0" xfId="0" applyNumberFormat="1" applyFont="1"/>
    <xf numFmtId="3" fontId="9" fillId="4" borderId="1" xfId="0" applyNumberFormat="1" applyFont="1" applyFill="1" applyBorder="1"/>
    <xf numFmtId="3" fontId="9" fillId="0" borderId="0" xfId="0" applyNumberFormat="1" applyFont="1"/>
    <xf numFmtId="0" fontId="9" fillId="4" borderId="3" xfId="0" applyFont="1" applyFill="1" applyBorder="1"/>
    <xf numFmtId="0" fontId="16" fillId="6" borderId="0" xfId="0" applyFont="1" applyFill="1"/>
    <xf numFmtId="0" fontId="26" fillId="0" borderId="0" xfId="0" applyFont="1" applyAlignment="1">
      <alignment vertical="center"/>
    </xf>
    <xf numFmtId="0" fontId="9" fillId="0" borderId="0" xfId="0" applyFont="1" applyAlignment="1">
      <alignment horizontal="center"/>
    </xf>
    <xf numFmtId="164" fontId="9" fillId="0" borderId="1" xfId="0" applyNumberFormat="1" applyFont="1" applyFill="1" applyBorder="1" applyAlignment="1">
      <alignment horizontal="right"/>
    </xf>
    <xf numFmtId="9" fontId="9" fillId="0" borderId="1" xfId="1" applyFont="1" applyFill="1" applyBorder="1" applyAlignment="1">
      <alignment horizontal="right"/>
    </xf>
    <xf numFmtId="0" fontId="9" fillId="0" borderId="0" xfId="0" applyFont="1" applyAlignment="1">
      <alignment vertical="center"/>
    </xf>
    <xf numFmtId="0" fontId="9" fillId="0" borderId="0" xfId="0" applyFont="1" applyAlignment="1">
      <alignment horizontal="center" vertical="center"/>
    </xf>
    <xf numFmtId="0" fontId="9" fillId="4" borderId="1" xfId="0" applyFont="1" applyFill="1" applyBorder="1" applyAlignment="1">
      <alignment horizontal="center"/>
    </xf>
    <xf numFmtId="4" fontId="25" fillId="0" borderId="5" xfId="0" applyNumberFormat="1" applyFont="1" applyFill="1" applyBorder="1" applyAlignment="1">
      <alignment horizontal="center"/>
    </xf>
    <xf numFmtId="0" fontId="9" fillId="0" borderId="0" xfId="0" applyFont="1" applyFill="1"/>
    <xf numFmtId="0" fontId="15" fillId="0" borderId="0" xfId="0" applyFont="1" applyFill="1" applyAlignment="1">
      <alignment horizontal="right"/>
    </xf>
    <xf numFmtId="0" fontId="27" fillId="0" borderId="1" xfId="0" applyFont="1" applyFill="1" applyBorder="1" applyAlignment="1">
      <alignment horizontal="center"/>
    </xf>
    <xf numFmtId="164" fontId="27" fillId="0" borderId="1" xfId="0" applyNumberFormat="1" applyFont="1" applyFill="1" applyBorder="1" applyAlignment="1">
      <alignment horizontal="right"/>
    </xf>
    <xf numFmtId="164" fontId="27" fillId="0" borderId="0" xfId="0" applyNumberFormat="1" applyFont="1"/>
    <xf numFmtId="165" fontId="9" fillId="0" borderId="1" xfId="0" applyNumberFormat="1" applyFont="1" applyFill="1" applyBorder="1" applyAlignment="1">
      <alignment horizontal="right"/>
    </xf>
    <xf numFmtId="2" fontId="9" fillId="7" borderId="1" xfId="0" applyNumberFormat="1" applyFont="1" applyFill="1" applyBorder="1" applyAlignment="1">
      <alignment horizontal="right"/>
    </xf>
    <xf numFmtId="2" fontId="9" fillId="5" borderId="1" xfId="0" applyNumberFormat="1" applyFont="1" applyFill="1" applyBorder="1" applyAlignment="1">
      <alignment horizontal="right"/>
    </xf>
    <xf numFmtId="0" fontId="9" fillId="0" borderId="0" xfId="0" applyFont="1" applyFill="1" applyAlignment="1">
      <alignment horizontal="right"/>
    </xf>
    <xf numFmtId="0" fontId="25" fillId="0" borderId="1" xfId="0" applyFont="1" applyFill="1" applyBorder="1" applyAlignment="1">
      <alignment horizontal="center"/>
    </xf>
    <xf numFmtId="164" fontId="24" fillId="0" borderId="1" xfId="0" applyNumberFormat="1" applyFont="1" applyFill="1" applyBorder="1" applyAlignment="1">
      <alignment horizontal="right" vertical="center"/>
    </xf>
    <xf numFmtId="169" fontId="9" fillId="0" borderId="1" xfId="1" applyNumberFormat="1" applyFont="1" applyFill="1" applyBorder="1"/>
    <xf numFmtId="164" fontId="9" fillId="0" borderId="0" xfId="0" applyNumberFormat="1" applyFont="1" applyAlignment="1">
      <alignment horizontal="right"/>
    </xf>
    <xf numFmtId="164" fontId="10" fillId="2" borderId="0" xfId="0" applyNumberFormat="1" applyFont="1" applyFill="1" applyAlignment="1">
      <alignment horizontal="right"/>
    </xf>
    <xf numFmtId="164" fontId="9" fillId="4" borderId="1" xfId="0" applyNumberFormat="1" applyFont="1" applyFill="1" applyBorder="1" applyAlignment="1">
      <alignment horizontal="right"/>
    </xf>
    <xf numFmtId="3" fontId="9" fillId="4" borderId="1" xfId="0" applyNumberFormat="1" applyFont="1" applyFill="1" applyBorder="1" applyAlignment="1">
      <alignment horizontal="right"/>
    </xf>
    <xf numFmtId="165" fontId="9" fillId="0" borderId="0" xfId="0" applyNumberFormat="1" applyFont="1" applyAlignment="1">
      <alignment horizontal="right"/>
    </xf>
    <xf numFmtId="164" fontId="24" fillId="0" borderId="1" xfId="0" applyNumberFormat="1" applyFont="1" applyFill="1" applyBorder="1" applyAlignment="1">
      <alignment horizontal="right"/>
    </xf>
    <xf numFmtId="165" fontId="24" fillId="0" borderId="1" xfId="0" applyNumberFormat="1" applyFont="1" applyFill="1" applyBorder="1" applyAlignment="1">
      <alignment horizontal="right"/>
    </xf>
    <xf numFmtId="165" fontId="25" fillId="0" borderId="1" xfId="0" applyNumberFormat="1" applyFont="1" applyFill="1" applyBorder="1"/>
    <xf numFmtId="164" fontId="25" fillId="0" borderId="0" xfId="0" applyNumberFormat="1" applyFont="1" applyFill="1" applyBorder="1"/>
    <xf numFmtId="166" fontId="25" fillId="0" borderId="1" xfId="1" applyNumberFormat="1" applyFont="1" applyFill="1" applyBorder="1"/>
    <xf numFmtId="165" fontId="25" fillId="0" borderId="1" xfId="0" applyNumberFormat="1" applyFont="1" applyFill="1" applyBorder="1" applyAlignment="1">
      <alignment horizontal="right"/>
    </xf>
    <xf numFmtId="166" fontId="24" fillId="0" borderId="1" xfId="0" applyNumberFormat="1" applyFont="1" applyFill="1" applyBorder="1"/>
    <xf numFmtId="168" fontId="24" fillId="0" borderId="1" xfId="0" applyNumberFormat="1" applyFont="1" applyFill="1" applyBorder="1"/>
    <xf numFmtId="0" fontId="9" fillId="0" borderId="6" xfId="0" applyNumberFormat="1" applyFont="1" applyFill="1" applyBorder="1" applyAlignment="1">
      <alignment horizontal="center" vertical="center"/>
    </xf>
    <xf numFmtId="0" fontId="9" fillId="4" borderId="1" xfId="0" applyFont="1" applyFill="1" applyBorder="1" applyAlignment="1">
      <alignment horizontal="center" vertical="center"/>
    </xf>
    <xf numFmtId="166" fontId="25" fillId="0" borderId="1" xfId="1" applyNumberFormat="1" applyFont="1" applyFill="1" applyBorder="1" applyAlignment="1">
      <alignment horizontal="right" vertical="center"/>
    </xf>
    <xf numFmtId="165" fontId="9" fillId="9" borderId="6" xfId="0" applyNumberFormat="1" applyFont="1" applyFill="1" applyBorder="1" applyAlignment="1">
      <alignment horizontal="center" vertical="center"/>
    </xf>
    <xf numFmtId="165" fontId="9" fillId="10" borderId="6" xfId="0" applyNumberFormat="1" applyFont="1" applyFill="1" applyBorder="1" applyAlignment="1">
      <alignment horizontal="center" vertical="center"/>
    </xf>
    <xf numFmtId="0" fontId="14" fillId="0" borderId="0" xfId="0" applyFont="1" applyFill="1"/>
    <xf numFmtId="0" fontId="17" fillId="0" borderId="0" xfId="0" applyFont="1" applyFill="1"/>
    <xf numFmtId="9" fontId="24" fillId="0" borderId="1" xfId="0" applyNumberFormat="1" applyFont="1" applyFill="1" applyBorder="1" applyAlignment="1">
      <alignment horizontal="right" vertical="center"/>
    </xf>
    <xf numFmtId="0" fontId="20" fillId="11" borderId="0" xfId="0" applyFont="1" applyFill="1" applyAlignment="1"/>
    <xf numFmtId="0" fontId="9" fillId="0" borderId="1" xfId="0" applyFont="1" applyBorder="1" applyAlignment="1">
      <alignment horizontal="center" vertical="center"/>
    </xf>
    <xf numFmtId="166" fontId="24" fillId="0" borderId="1" xfId="1" applyNumberFormat="1" applyFont="1" applyFill="1" applyBorder="1" applyAlignment="1">
      <alignment horizontal="right" vertical="center"/>
    </xf>
    <xf numFmtId="0" fontId="29" fillId="0" borderId="0" xfId="0" applyFont="1" applyAlignment="1">
      <alignment horizontal="left" vertical="center" readingOrder="1"/>
    </xf>
    <xf numFmtId="9" fontId="9" fillId="0" borderId="6" xfId="1" applyFont="1" applyFill="1" applyBorder="1" applyAlignment="1">
      <alignment horizontal="center" vertical="center"/>
    </xf>
    <xf numFmtId="9" fontId="9" fillId="0" borderId="6" xfId="1"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0" fontId="15" fillId="0" borderId="6" xfId="0" applyFont="1" applyFill="1" applyBorder="1" applyAlignment="1">
      <alignment horizontal="center" vertical="center"/>
    </xf>
    <xf numFmtId="1" fontId="9" fillId="0" borderId="6" xfId="0" applyNumberFormat="1" applyFont="1" applyFill="1" applyBorder="1" applyAlignment="1">
      <alignment horizontal="center" vertical="center"/>
    </xf>
    <xf numFmtId="10" fontId="9" fillId="0" borderId="6" xfId="1" applyNumberFormat="1" applyFont="1" applyFill="1" applyBorder="1" applyAlignment="1">
      <alignment horizontal="center" vertical="center"/>
    </xf>
    <xf numFmtId="10" fontId="25" fillId="0" borderId="1" xfId="1" applyNumberFormat="1" applyFont="1" applyFill="1" applyBorder="1" applyAlignment="1">
      <alignment horizontal="right" vertical="center"/>
    </xf>
    <xf numFmtId="164" fontId="25" fillId="5" borderId="1" xfId="1" applyNumberFormat="1" applyFont="1" applyFill="1" applyBorder="1"/>
    <xf numFmtId="165" fontId="25" fillId="5" borderId="1" xfId="1" applyNumberFormat="1" applyFont="1" applyFill="1" applyBorder="1"/>
    <xf numFmtId="164" fontId="9" fillId="0" borderId="0" xfId="0" applyNumberFormat="1" applyFont="1"/>
    <xf numFmtId="166" fontId="9" fillId="0" borderId="1" xfId="0" applyNumberFormat="1" applyFont="1" applyFill="1" applyBorder="1"/>
    <xf numFmtId="0" fontId="9" fillId="0" borderId="0" xfId="0" applyNumberFormat="1" applyFont="1" applyFill="1"/>
    <xf numFmtId="2" fontId="9" fillId="0" borderId="1" xfId="0" applyNumberFormat="1" applyFont="1" applyFill="1" applyBorder="1"/>
    <xf numFmtId="0" fontId="3" fillId="0" borderId="0" xfId="0" applyFont="1" applyFill="1" applyAlignment="1"/>
    <xf numFmtId="0" fontId="4" fillId="0" borderId="0" xfId="0" applyFont="1" applyFill="1" applyAlignment="1"/>
    <xf numFmtId="0" fontId="5" fillId="0" borderId="0" xfId="0" applyFont="1" applyFill="1" applyAlignment="1">
      <alignment horizontal="right"/>
    </xf>
    <xf numFmtId="170" fontId="24" fillId="0" borderId="1" xfId="0" applyNumberFormat="1" applyFont="1" applyFill="1" applyBorder="1"/>
    <xf numFmtId="170" fontId="25" fillId="0" borderId="1" xfId="1" applyNumberFormat="1" applyFont="1" applyFill="1" applyBorder="1"/>
    <xf numFmtId="168" fontId="25" fillId="0" borderId="1" xfId="1" applyNumberFormat="1" applyFont="1" applyFill="1" applyBorder="1"/>
    <xf numFmtId="0" fontId="15" fillId="6" borderId="0" xfId="0" applyFont="1" applyFill="1" applyAlignment="1">
      <alignment horizontal="right"/>
    </xf>
    <xf numFmtId="0" fontId="31" fillId="0" borderId="0" xfId="0" applyFont="1"/>
    <xf numFmtId="0" fontId="9" fillId="0" borderId="0" xfId="0" applyFont="1" applyAlignment="1">
      <alignment horizontal="right" vertical="center" wrapText="1"/>
    </xf>
    <xf numFmtId="0" fontId="11" fillId="3" borderId="0" xfId="0" applyFont="1" applyFill="1"/>
    <xf numFmtId="0" fontId="32" fillId="2" borderId="0" xfId="0" applyFont="1" applyFill="1"/>
    <xf numFmtId="0" fontId="33" fillId="2" borderId="0" xfId="0" applyFont="1" applyFill="1"/>
    <xf numFmtId="0" fontId="12" fillId="3" borderId="0" xfId="0" applyFont="1" applyFill="1"/>
    <xf numFmtId="0" fontId="11" fillId="3" borderId="0" xfId="2" applyFont="1" applyFill="1" applyBorder="1" applyAlignment="1">
      <alignment vertical="center"/>
    </xf>
    <xf numFmtId="0" fontId="2" fillId="3" borderId="0" xfId="0" applyFont="1" applyFill="1"/>
    <xf numFmtId="0" fontId="34" fillId="3" borderId="0" xfId="2" applyFont="1" applyFill="1" applyBorder="1" applyAlignment="1">
      <alignment horizontal="right" vertical="center"/>
    </xf>
    <xf numFmtId="0" fontId="35" fillId="0" borderId="0" xfId="0" applyFont="1" applyBorder="1" applyAlignment="1">
      <alignment vertical="center"/>
    </xf>
    <xf numFmtId="0" fontId="36" fillId="0" borderId="0" xfId="2" applyFont="1"/>
    <xf numFmtId="0" fontId="36" fillId="0" borderId="0" xfId="2" applyFont="1" applyBorder="1" applyAlignment="1">
      <alignment vertical="center"/>
    </xf>
    <xf numFmtId="0" fontId="36" fillId="0" borderId="0" xfId="2" applyFont="1" applyAlignment="1">
      <alignment vertical="center"/>
    </xf>
    <xf numFmtId="0" fontId="37" fillId="2" borderId="0" xfId="0" applyFont="1" applyFill="1"/>
    <xf numFmtId="0" fontId="11" fillId="2" borderId="0" xfId="0" applyFont="1" applyFill="1"/>
    <xf numFmtId="0" fontId="34" fillId="3" borderId="0" xfId="2" applyFont="1" applyFill="1" applyAlignment="1">
      <alignment vertical="center"/>
    </xf>
    <xf numFmtId="0" fontId="11" fillId="3" borderId="0" xfId="0" applyFont="1" applyFill="1" applyAlignment="1"/>
    <xf numFmtId="0" fontId="11" fillId="0" borderId="0" xfId="0" applyFont="1"/>
    <xf numFmtId="0" fontId="38" fillId="0" borderId="0" xfId="0" applyFont="1"/>
    <xf numFmtId="0" fontId="39" fillId="6" borderId="0" xfId="0" applyFont="1" applyFill="1"/>
    <xf numFmtId="0" fontId="40" fillId="6" borderId="0" xfId="0" applyFont="1" applyFill="1"/>
    <xf numFmtId="0" fontId="6" fillId="6" borderId="0" xfId="0" applyFont="1" applyFill="1"/>
    <xf numFmtId="0" fontId="21" fillId="0" borderId="0" xfId="0" applyFont="1" applyFill="1"/>
    <xf numFmtId="0" fontId="19" fillId="0" borderId="0" xfId="0" applyFont="1" applyFill="1"/>
    <xf numFmtId="171" fontId="9" fillId="0" borderId="0" xfId="0" applyNumberFormat="1" applyFont="1"/>
    <xf numFmtId="172" fontId="24" fillId="0" borderId="1" xfId="0" applyNumberFormat="1" applyFont="1" applyFill="1" applyBorder="1"/>
    <xf numFmtId="172" fontId="9" fillId="0" borderId="0" xfId="0" applyNumberFormat="1" applyFont="1"/>
    <xf numFmtId="172" fontId="25" fillId="0" borderId="1" xfId="0" applyNumberFormat="1" applyFont="1" applyFill="1" applyBorder="1"/>
    <xf numFmtId="168" fontId="24" fillId="0" borderId="1" xfId="0" applyNumberFormat="1" applyFont="1" applyFill="1" applyBorder="1" applyAlignment="1">
      <alignment horizontal="right" vertical="center"/>
    </xf>
    <xf numFmtId="172" fontId="9" fillId="0" borderId="6" xfId="1" applyNumberFormat="1" applyFont="1" applyFill="1" applyBorder="1" applyAlignment="1">
      <alignment horizontal="center" vertical="center"/>
    </xf>
    <xf numFmtId="0" fontId="9" fillId="0" borderId="1" xfId="0" applyFont="1" applyFill="1" applyBorder="1" applyAlignment="1">
      <alignment horizontal="center"/>
    </xf>
    <xf numFmtId="168" fontId="25" fillId="0" borderId="1" xfId="0" applyNumberFormat="1" applyFont="1" applyFill="1" applyBorder="1"/>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Fill="1" applyBorder="1" applyAlignment="1">
      <alignment horizontal="center" vertical="center"/>
    </xf>
    <xf numFmtId="166" fontId="25" fillId="0" borderId="2" xfId="1" applyNumberFormat="1" applyFont="1" applyFill="1" applyBorder="1" applyAlignment="1">
      <alignment horizontal="right" vertical="center"/>
    </xf>
    <xf numFmtId="0" fontId="9" fillId="0" borderId="0" xfId="0" applyFont="1" applyBorder="1" applyAlignment="1">
      <alignment horizontal="center" vertical="center"/>
    </xf>
    <xf numFmtId="166" fontId="25" fillId="0" borderId="5" xfId="1" applyNumberFormat="1" applyFont="1" applyFill="1" applyBorder="1" applyAlignment="1">
      <alignment horizontal="right" vertical="center"/>
    </xf>
    <xf numFmtId="0" fontId="9" fillId="12" borderId="9" xfId="0" applyFont="1" applyFill="1" applyBorder="1" applyAlignment="1">
      <alignment vertical="center"/>
    </xf>
    <xf numFmtId="0" fontId="9" fillId="13" borderId="9" xfId="0" applyFont="1" applyFill="1" applyBorder="1" applyAlignment="1">
      <alignment vertical="center"/>
    </xf>
    <xf numFmtId="0" fontId="9" fillId="0" borderId="8" xfId="0" applyFont="1" applyFill="1" applyBorder="1" applyAlignment="1">
      <alignment vertical="center"/>
    </xf>
    <xf numFmtId="0" fontId="9" fillId="0" borderId="7" xfId="0" applyFont="1" applyFill="1" applyBorder="1" applyAlignment="1">
      <alignment horizontal="left" vertical="center" indent="1"/>
    </xf>
    <xf numFmtId="0" fontId="9" fillId="0" borderId="0" xfId="0" applyFont="1" applyAlignment="1">
      <alignment horizontal="left" vertical="center" inden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5" fillId="0" borderId="20" xfId="0" applyFont="1" applyFill="1" applyBorder="1" applyAlignment="1">
      <alignment horizontal="center" vertical="center"/>
    </xf>
    <xf numFmtId="0" fontId="15" fillId="0" borderId="20" xfId="0" applyFont="1" applyFill="1" applyBorder="1" applyAlignment="1">
      <alignment vertical="center"/>
    </xf>
    <xf numFmtId="0" fontId="9" fillId="0" borderId="20" xfId="0" applyFont="1" applyFill="1" applyBorder="1" applyAlignment="1">
      <alignment horizontal="center" vertical="center"/>
    </xf>
    <xf numFmtId="0" fontId="9" fillId="0" borderId="20" xfId="0" applyFont="1" applyFill="1" applyBorder="1" applyAlignment="1">
      <alignment vertical="center"/>
    </xf>
    <xf numFmtId="0" fontId="15" fillId="0" borderId="20" xfId="0" applyFont="1" applyFill="1" applyBorder="1" applyAlignment="1">
      <alignment horizontal="left" vertical="center"/>
    </xf>
    <xf numFmtId="174"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9" fillId="0" borderId="0" xfId="0" applyFont="1" applyBorder="1" applyAlignment="1">
      <alignment vertical="center"/>
    </xf>
    <xf numFmtId="0" fontId="48" fillId="0" borderId="0" xfId="0" applyFont="1" applyFill="1" applyAlignment="1">
      <alignment vertical="center"/>
    </xf>
    <xf numFmtId="0" fontId="47" fillId="0" borderId="0" xfId="0" applyFont="1" applyFill="1" applyAlignment="1">
      <alignment vertical="center"/>
    </xf>
    <xf numFmtId="0" fontId="15" fillId="6" borderId="0" xfId="0" applyFont="1" applyFill="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49" fillId="0" borderId="0" xfId="2" applyFont="1" applyBorder="1" applyAlignment="1">
      <alignment vertical="center"/>
    </xf>
    <xf numFmtId="0" fontId="9" fillId="0" borderId="18" xfId="0" applyFont="1" applyBorder="1" applyAlignment="1">
      <alignment vertical="center"/>
    </xf>
    <xf numFmtId="0" fontId="49" fillId="0" borderId="18" xfId="2" applyFont="1" applyBorder="1" applyAlignment="1">
      <alignment vertical="center"/>
    </xf>
    <xf numFmtId="0" fontId="9" fillId="0" borderId="12" xfId="0" applyFont="1" applyBorder="1" applyAlignment="1">
      <alignment vertical="center"/>
    </xf>
    <xf numFmtId="0" fontId="25" fillId="0" borderId="13" xfId="0" applyFont="1" applyBorder="1" applyAlignment="1">
      <alignment horizontal="left" vertical="center" indent="1"/>
    </xf>
    <xf numFmtId="0" fontId="25" fillId="0" borderId="16" xfId="0" applyFont="1" applyBorder="1" applyAlignment="1">
      <alignment horizontal="left" vertical="center" indent="1"/>
    </xf>
    <xf numFmtId="0" fontId="25" fillId="0" borderId="17" xfId="0" applyFont="1" applyBorder="1" applyAlignment="1">
      <alignment horizontal="left" vertical="center" indent="1"/>
    </xf>
    <xf numFmtId="0" fontId="9" fillId="0" borderId="0" xfId="0" applyFont="1" applyAlignment="1">
      <alignment horizontal="left" vertical="center"/>
    </xf>
    <xf numFmtId="0" fontId="48" fillId="14" borderId="21" xfId="0" applyFont="1" applyFill="1" applyBorder="1" applyAlignment="1">
      <alignment vertical="center"/>
    </xf>
    <xf numFmtId="0" fontId="46" fillId="14" borderId="21" xfId="0" applyFont="1" applyFill="1" applyBorder="1" applyAlignment="1">
      <alignment vertical="center"/>
    </xf>
    <xf numFmtId="0" fontId="48" fillId="14" borderId="0" xfId="0" applyFont="1" applyFill="1" applyAlignment="1">
      <alignment vertical="center"/>
    </xf>
    <xf numFmtId="0" fontId="45" fillId="14" borderId="0" xfId="0" applyFont="1" applyFill="1" applyAlignment="1">
      <alignment vertical="center"/>
    </xf>
    <xf numFmtId="174" fontId="45" fillId="14" borderId="0" xfId="0" applyNumberFormat="1" applyFont="1" applyFill="1" applyAlignment="1">
      <alignment horizontal="left" vertical="center"/>
    </xf>
    <xf numFmtId="173" fontId="45" fillId="14" borderId="0" xfId="0" applyNumberFormat="1" applyFont="1" applyFill="1" applyAlignment="1">
      <alignment horizontal="left" vertical="center"/>
    </xf>
    <xf numFmtId="0" fontId="9" fillId="0" borderId="0" xfId="0" applyFont="1" applyAlignment="1">
      <alignment vertical="center"/>
    </xf>
    <xf numFmtId="0" fontId="49" fillId="0" borderId="0" xfId="2" applyFont="1"/>
    <xf numFmtId="0" fontId="50" fillId="2" borderId="0" xfId="0" applyFont="1" applyFill="1" applyAlignment="1">
      <alignment vertical="center"/>
    </xf>
    <xf numFmtId="0" fontId="52" fillId="2" borderId="0" xfId="0" applyFont="1" applyFill="1" applyAlignment="1">
      <alignment vertical="center"/>
    </xf>
    <xf numFmtId="0" fontId="41" fillId="2" borderId="0" xfId="0" applyFont="1" applyFill="1" applyAlignment="1">
      <alignment vertical="center"/>
    </xf>
    <xf numFmtId="0" fontId="9" fillId="0" borderId="9" xfId="0" applyNumberFormat="1" applyFont="1" applyFill="1" applyBorder="1" applyAlignment="1">
      <alignment horizontal="center" vertical="center"/>
    </xf>
    <xf numFmtId="0" fontId="9" fillId="0" borderId="33" xfId="0" applyNumberFormat="1" applyFont="1" applyFill="1" applyBorder="1" applyAlignment="1">
      <alignment horizontal="center" vertical="center"/>
    </xf>
    <xf numFmtId="0" fontId="9" fillId="0" borderId="34" xfId="0" applyNumberFormat="1" applyFont="1" applyFill="1" applyBorder="1" applyAlignment="1">
      <alignment horizontal="center" vertical="center"/>
    </xf>
    <xf numFmtId="0" fontId="9" fillId="0" borderId="33" xfId="0" applyFont="1" applyFill="1" applyBorder="1" applyAlignment="1">
      <alignment horizontal="center" vertical="center"/>
    </xf>
    <xf numFmtId="164" fontId="25" fillId="7" borderId="1" xfId="1" applyNumberFormat="1" applyFont="1" applyFill="1" applyBorder="1"/>
    <xf numFmtId="10" fontId="9" fillId="0" borderId="1" xfId="1" applyNumberFormat="1" applyFont="1" applyFill="1" applyBorder="1"/>
    <xf numFmtId="166" fontId="24" fillId="0" borderId="5" xfId="1" applyNumberFormat="1" applyFont="1" applyFill="1" applyBorder="1" applyAlignment="1">
      <alignment vertical="center"/>
    </xf>
    <xf numFmtId="164" fontId="24" fillId="5" borderId="1" xfId="0" applyNumberFormat="1" applyFont="1" applyFill="1" applyBorder="1"/>
    <xf numFmtId="0" fontId="9" fillId="4" borderId="4" xfId="0" applyFont="1" applyFill="1" applyBorder="1" applyAlignment="1">
      <alignment horizontal="center" vertical="center"/>
    </xf>
    <xf numFmtId="165" fontId="43" fillId="0" borderId="1" xfId="0" applyNumberFormat="1" applyFont="1" applyFill="1" applyBorder="1"/>
    <xf numFmtId="164" fontId="43" fillId="0" borderId="1" xfId="0" applyNumberFormat="1" applyFont="1" applyFill="1" applyBorder="1" applyAlignment="1">
      <alignment horizontal="right"/>
    </xf>
    <xf numFmtId="165" fontId="43" fillId="0" borderId="1" xfId="0" applyNumberFormat="1" applyFont="1" applyFill="1" applyBorder="1" applyAlignment="1">
      <alignment horizontal="right"/>
    </xf>
    <xf numFmtId="0" fontId="24" fillId="0" borderId="1" xfId="0" applyFont="1" applyFill="1" applyBorder="1" applyAlignment="1">
      <alignment horizontal="center" vertical="center"/>
    </xf>
    <xf numFmtId="166" fontId="43" fillId="0" borderId="1" xfId="1" applyNumberFormat="1" applyFont="1" applyFill="1" applyBorder="1"/>
    <xf numFmtId="164" fontId="43" fillId="0" borderId="1" xfId="0" applyNumberFormat="1" applyFont="1" applyFill="1" applyBorder="1"/>
    <xf numFmtId="170" fontId="43" fillId="0" borderId="1" xfId="0" applyNumberFormat="1" applyFont="1" applyFill="1" applyBorder="1"/>
    <xf numFmtId="166" fontId="43" fillId="0" borderId="1" xfId="0" applyNumberFormat="1" applyFont="1" applyFill="1" applyBorder="1" applyAlignment="1">
      <alignment horizontal="right"/>
    </xf>
    <xf numFmtId="168" fontId="43" fillId="0" borderId="1" xfId="0" applyNumberFormat="1" applyFont="1" applyFill="1" applyBorder="1"/>
    <xf numFmtId="166" fontId="43" fillId="0" borderId="1" xfId="0" applyNumberFormat="1" applyFont="1" applyFill="1" applyBorder="1"/>
    <xf numFmtId="9" fontId="43" fillId="0" borderId="1" xfId="1" applyFont="1" applyFill="1" applyBorder="1" applyAlignment="1">
      <alignment horizontal="right"/>
    </xf>
    <xf numFmtId="9" fontId="43" fillId="0" borderId="1" xfId="1" applyNumberFormat="1" applyFont="1" applyFill="1" applyBorder="1" applyAlignment="1">
      <alignment horizontal="right"/>
    </xf>
    <xf numFmtId="1" fontId="43" fillId="0" borderId="1" xfId="0" applyNumberFormat="1" applyFont="1" applyFill="1" applyBorder="1" applyAlignment="1">
      <alignment horizontal="right"/>
    </xf>
    <xf numFmtId="0" fontId="43" fillId="0" borderId="0" xfId="0" applyFont="1"/>
    <xf numFmtId="166" fontId="43" fillId="0" borderId="1" xfId="1" applyNumberFormat="1" applyFont="1" applyFill="1" applyBorder="1" applyAlignment="1">
      <alignment horizontal="right"/>
    </xf>
    <xf numFmtId="1" fontId="24" fillId="0" borderId="1" xfId="0" applyNumberFormat="1" applyFont="1" applyFill="1" applyBorder="1" applyAlignment="1">
      <alignment horizontal="right"/>
    </xf>
    <xf numFmtId="0" fontId="9" fillId="0" borderId="9" xfId="0" applyFont="1" applyFill="1" applyBorder="1" applyAlignment="1">
      <alignment vertical="center"/>
    </xf>
    <xf numFmtId="0" fontId="56" fillId="0" borderId="7" xfId="0" applyFont="1" applyFill="1" applyBorder="1" applyAlignment="1">
      <alignment vertical="center"/>
    </xf>
    <xf numFmtId="0" fontId="9" fillId="0" borderId="6" xfId="0" applyFont="1" applyFill="1" applyBorder="1"/>
    <xf numFmtId="164" fontId="53" fillId="0" borderId="6" xfId="0" applyNumberFormat="1" applyFont="1" applyFill="1" applyBorder="1" applyAlignment="1">
      <alignment horizontal="center" vertical="center"/>
    </xf>
    <xf numFmtId="0" fontId="28" fillId="0" borderId="6" xfId="0" applyFont="1" applyFill="1" applyBorder="1" applyAlignment="1">
      <alignment horizontal="left" vertical="center" wrapText="1" readingOrder="1"/>
    </xf>
    <xf numFmtId="165" fontId="9" fillId="0" borderId="6" xfId="0" applyNumberFormat="1" applyFont="1" applyFill="1" applyBorder="1" applyAlignment="1">
      <alignment horizontal="center" vertical="center"/>
    </xf>
    <xf numFmtId="0" fontId="10" fillId="2" borderId="0" xfId="0" applyFont="1" applyFill="1" applyAlignment="1">
      <alignment vertical="center"/>
    </xf>
    <xf numFmtId="0" fontId="7" fillId="0" borderId="0" xfId="0" applyFont="1" applyFill="1"/>
    <xf numFmtId="0" fontId="7" fillId="0" borderId="0" xfId="0" applyFont="1" applyFill="1" applyAlignment="1">
      <alignment horizontal="right"/>
    </xf>
    <xf numFmtId="0" fontId="9" fillId="16" borderId="9" xfId="0" applyFont="1" applyFill="1" applyBorder="1" applyAlignment="1">
      <alignment vertical="center"/>
    </xf>
    <xf numFmtId="0" fontId="9" fillId="15" borderId="6" xfId="0" applyFont="1" applyFill="1" applyBorder="1" applyAlignment="1">
      <alignment vertical="center"/>
    </xf>
    <xf numFmtId="0" fontId="9" fillId="12" borderId="6" xfId="0" applyFont="1" applyFill="1" applyBorder="1" applyAlignment="1">
      <alignment vertical="center"/>
    </xf>
    <xf numFmtId="0" fontId="9" fillId="13" borderId="24" xfId="0" applyFont="1" applyFill="1" applyBorder="1" applyAlignment="1">
      <alignment vertical="center"/>
    </xf>
    <xf numFmtId="0" fontId="9" fillId="17" borderId="5" xfId="0" applyFont="1" applyFill="1" applyBorder="1" applyAlignment="1">
      <alignment horizontal="center" vertical="center" wrapText="1"/>
    </xf>
    <xf numFmtId="0" fontId="9" fillId="17" borderId="6" xfId="0" applyFont="1" applyFill="1" applyBorder="1" applyAlignment="1">
      <alignment vertical="center"/>
    </xf>
    <xf numFmtId="165" fontId="9" fillId="17" borderId="6" xfId="0" applyNumberFormat="1" applyFont="1" applyFill="1" applyBorder="1" applyAlignment="1">
      <alignment horizontal="center" vertical="center"/>
    </xf>
    <xf numFmtId="0" fontId="9" fillId="17" borderId="4" xfId="0" applyFont="1" applyFill="1" applyBorder="1" applyAlignment="1">
      <alignment horizontal="center" vertical="center" wrapText="1"/>
    </xf>
    <xf numFmtId="164" fontId="53" fillId="17" borderId="6" xfId="0" applyNumberFormat="1" applyFont="1" applyFill="1" applyBorder="1" applyAlignment="1">
      <alignment horizontal="center" vertical="center"/>
    </xf>
    <xf numFmtId="164" fontId="9" fillId="17" borderId="6" xfId="0" applyNumberFormat="1" applyFont="1" applyFill="1" applyBorder="1" applyAlignment="1">
      <alignment horizontal="center" vertical="center"/>
    </xf>
    <xf numFmtId="0" fontId="9" fillId="17" borderId="1" xfId="0" applyFont="1" applyFill="1" applyBorder="1"/>
    <xf numFmtId="0" fontId="55" fillId="17" borderId="26" xfId="0" applyFont="1" applyFill="1" applyBorder="1" applyAlignment="1">
      <alignment vertical="center"/>
    </xf>
    <xf numFmtId="0" fontId="56" fillId="17" borderId="31" xfId="0" applyFont="1" applyFill="1" applyBorder="1" applyAlignment="1">
      <alignment horizontal="center" vertical="center" wrapText="1"/>
    </xf>
    <xf numFmtId="0" fontId="56" fillId="17" borderId="32" xfId="0" applyFont="1" applyFill="1" applyBorder="1" applyAlignment="1">
      <alignment horizontal="center" vertical="center" wrapText="1"/>
    </xf>
    <xf numFmtId="0" fontId="56" fillId="17" borderId="28" xfId="0" applyFont="1" applyFill="1" applyBorder="1" applyAlignment="1">
      <alignment horizontal="center" vertical="center" wrapText="1"/>
    </xf>
    <xf numFmtId="0" fontId="56" fillId="17" borderId="24" xfId="0" applyFont="1" applyFill="1" applyBorder="1" applyAlignment="1">
      <alignment horizontal="center" vertical="center" wrapText="1"/>
    </xf>
    <xf numFmtId="0" fontId="9" fillId="17" borderId="24" xfId="0" applyFont="1" applyFill="1" applyBorder="1" applyAlignment="1">
      <alignment vertical="center"/>
    </xf>
    <xf numFmtId="0" fontId="9" fillId="17" borderId="7" xfId="0" applyFont="1" applyFill="1" applyBorder="1" applyAlignment="1">
      <alignment vertical="center"/>
    </xf>
    <xf numFmtId="0" fontId="42" fillId="17" borderId="1" xfId="0" applyFont="1" applyFill="1" applyBorder="1" applyAlignment="1">
      <alignment horizontal="center" vertical="center"/>
    </xf>
    <xf numFmtId="0" fontId="56" fillId="17" borderId="6" xfId="0" applyFont="1" applyFill="1" applyBorder="1" applyAlignment="1">
      <alignment horizontal="center" vertical="center" wrapText="1"/>
    </xf>
    <xf numFmtId="0" fontId="9" fillId="2" borderId="9" xfId="0" applyFont="1" applyFill="1" applyBorder="1" applyAlignment="1">
      <alignment vertical="center"/>
    </xf>
    <xf numFmtId="0" fontId="9" fillId="18" borderId="9" xfId="0" applyFont="1" applyFill="1" applyBorder="1" applyAlignment="1">
      <alignment vertical="center"/>
    </xf>
    <xf numFmtId="0" fontId="9" fillId="15" borderId="9" xfId="0" applyFont="1" applyFill="1" applyBorder="1" applyAlignment="1">
      <alignment vertical="center"/>
    </xf>
    <xf numFmtId="0" fontId="9" fillId="0" borderId="8" xfId="0" applyFont="1" applyFill="1" applyBorder="1" applyAlignment="1">
      <alignment horizontal="left" vertical="center" indent="1"/>
    </xf>
    <xf numFmtId="168" fontId="9" fillId="17" borderId="6" xfId="1" applyNumberFormat="1" applyFont="1" applyFill="1" applyBorder="1" applyAlignment="1">
      <alignment horizontal="center" vertical="center"/>
    </xf>
    <xf numFmtId="0" fontId="57" fillId="3" borderId="0" xfId="2" applyFont="1" applyFill="1" applyBorder="1" applyAlignment="1">
      <alignment horizontal="right" vertical="center"/>
    </xf>
    <xf numFmtId="0" fontId="9" fillId="0" borderId="0" xfId="0" applyFont="1" applyAlignment="1">
      <alignment vertical="center"/>
    </xf>
    <xf numFmtId="0" fontId="9" fillId="0" borderId="0" xfId="0" applyFont="1" applyAlignment="1">
      <alignment vertical="center"/>
    </xf>
    <xf numFmtId="0" fontId="26" fillId="0" borderId="0" xfId="0" applyFont="1" applyFill="1" applyAlignment="1">
      <alignment vertical="center"/>
    </xf>
    <xf numFmtId="0" fontId="9" fillId="0" borderId="6" xfId="0" applyFont="1" applyFill="1" applyBorder="1" applyAlignment="1">
      <alignment horizontal="center" vertical="center"/>
    </xf>
    <xf numFmtId="0" fontId="9" fillId="0" borderId="0" xfId="0" applyFont="1" applyAlignment="1">
      <alignment vertical="center"/>
    </xf>
    <xf numFmtId="0" fontId="54" fillId="2" borderId="25" xfId="0" applyFont="1" applyFill="1" applyBorder="1" applyAlignment="1">
      <alignment vertical="center"/>
    </xf>
    <xf numFmtId="0" fontId="34" fillId="3" borderId="0" xfId="2" applyFont="1" applyFill="1" applyBorder="1" applyAlignment="1">
      <alignment vertical="center"/>
    </xf>
    <xf numFmtId="0" fontId="15" fillId="0" borderId="0" xfId="0" applyFont="1" applyAlignment="1">
      <alignment horizontal="center"/>
    </xf>
    <xf numFmtId="0" fontId="9" fillId="17" borderId="6" xfId="0" applyFont="1" applyFill="1" applyBorder="1" applyAlignment="1">
      <alignment horizontal="center"/>
    </xf>
    <xf numFmtId="0" fontId="9" fillId="17" borderId="1" xfId="0" applyFont="1" applyFill="1" applyBorder="1" applyAlignment="1">
      <alignment horizontal="center" vertical="center" wrapText="1"/>
    </xf>
    <xf numFmtId="0" fontId="56" fillId="17" borderId="6" xfId="0" applyFont="1" applyFill="1" applyBorder="1" applyAlignment="1">
      <alignment horizontal="center" vertical="center" wrapText="1" readingOrder="1"/>
    </xf>
    <xf numFmtId="0" fontId="9" fillId="17"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15" fillId="0" borderId="0" xfId="0" applyFont="1" applyAlignment="1">
      <alignment horizontal="center"/>
    </xf>
    <xf numFmtId="0" fontId="9" fillId="17" borderId="1" xfId="0" applyFont="1" applyFill="1" applyBorder="1" applyAlignment="1">
      <alignment horizontal="center" vertical="center" wrapText="1"/>
    </xf>
    <xf numFmtId="0" fontId="25" fillId="0" borderId="0" xfId="0" applyFont="1" applyFill="1"/>
    <xf numFmtId="0" fontId="59" fillId="0" borderId="0" xfId="0" applyFont="1" applyFill="1"/>
    <xf numFmtId="0" fontId="25" fillId="0" borderId="0" xfId="0" applyFont="1" applyFill="1" applyAlignment="1">
      <alignment horizontal="right"/>
    </xf>
    <xf numFmtId="0" fontId="22" fillId="0" borderId="0" xfId="0" applyFont="1" applyFill="1" applyBorder="1" applyAlignment="1">
      <alignment horizontal="right" vertical="top" wrapText="1"/>
    </xf>
    <xf numFmtId="0" fontId="25" fillId="0" borderId="0" xfId="0" applyFont="1" applyFill="1" applyAlignment="1">
      <alignment horizontal="right" vertical="center" wrapText="1"/>
    </xf>
    <xf numFmtId="166" fontId="25" fillId="0" borderId="1" xfId="0" applyNumberFormat="1" applyFont="1" applyFill="1" applyBorder="1" applyAlignment="1">
      <alignment horizontal="right"/>
    </xf>
    <xf numFmtId="0" fontId="39" fillId="0" borderId="0" xfId="0" applyFont="1" applyFill="1"/>
    <xf numFmtId="0" fontId="40" fillId="0" borderId="0" xfId="0" applyFont="1" applyFill="1"/>
    <xf numFmtId="169" fontId="24" fillId="0" borderId="1" xfId="1" applyNumberFormat="1" applyFont="1" applyFill="1" applyBorder="1"/>
    <xf numFmtId="0" fontId="21" fillId="11" borderId="0" xfId="0" applyFont="1" applyFill="1"/>
    <xf numFmtId="3" fontId="24" fillId="0" borderId="1" xfId="0" applyNumberFormat="1" applyFont="1" applyFill="1" applyBorder="1"/>
    <xf numFmtId="3" fontId="25" fillId="0" borderId="1" xfId="0" applyNumberFormat="1" applyFont="1" applyFill="1" applyBorder="1"/>
    <xf numFmtId="10" fontId="24" fillId="0" borderId="1" xfId="1" applyNumberFormat="1" applyFont="1" applyFill="1" applyBorder="1"/>
    <xf numFmtId="0" fontId="24" fillId="0" borderId="1" xfId="0" applyFont="1" applyFill="1" applyBorder="1" applyAlignment="1">
      <alignment horizontal="center"/>
    </xf>
    <xf numFmtId="0" fontId="43" fillId="0" borderId="0" xfId="0" applyFont="1" applyFill="1"/>
    <xf numFmtId="175" fontId="9" fillId="0" borderId="0" xfId="0" applyNumberFormat="1" applyFont="1"/>
    <xf numFmtId="176" fontId="9" fillId="0" borderId="0" xfId="0" applyNumberFormat="1" applyFont="1"/>
    <xf numFmtId="164" fontId="25" fillId="0" borderId="1" xfId="0" applyNumberFormat="1" applyFont="1" applyFill="1" applyBorder="1" applyAlignment="1">
      <alignment horizontal="right"/>
    </xf>
    <xf numFmtId="0" fontId="9" fillId="0" borderId="0" xfId="0" applyFont="1" applyAlignment="1">
      <alignment horizontal="right" wrapText="1"/>
    </xf>
    <xf numFmtId="0" fontId="10" fillId="19" borderId="6" xfId="0" applyFont="1" applyFill="1" applyBorder="1" applyAlignment="1">
      <alignment horizontal="center" wrapText="1"/>
    </xf>
    <xf numFmtId="10" fontId="25" fillId="0" borderId="1" xfId="0" applyNumberFormat="1" applyFont="1" applyFill="1" applyBorder="1" applyAlignment="1">
      <alignment horizontal="center" vertical="center"/>
    </xf>
    <xf numFmtId="166" fontId="24" fillId="0" borderId="1" xfId="0" applyNumberFormat="1" applyFont="1" applyFill="1" applyBorder="1" applyAlignment="1">
      <alignment horizontal="right" vertical="center"/>
    </xf>
    <xf numFmtId="166" fontId="24" fillId="0" borderId="2" xfId="0" applyNumberFormat="1" applyFont="1" applyFill="1" applyBorder="1" applyAlignment="1">
      <alignment horizontal="right" vertical="center"/>
    </xf>
    <xf numFmtId="9" fontId="25" fillId="0" borderId="1" xfId="0" applyNumberFormat="1" applyFont="1" applyFill="1" applyBorder="1" applyAlignment="1">
      <alignment horizontal="center" vertical="center"/>
    </xf>
    <xf numFmtId="172" fontId="25" fillId="0" borderId="1" xfId="0" applyNumberFormat="1" applyFont="1" applyFill="1" applyBorder="1" applyAlignment="1">
      <alignment horizontal="center" vertical="center"/>
    </xf>
    <xf numFmtId="0" fontId="9" fillId="0" borderId="0" xfId="0" applyFont="1" applyAlignment="1">
      <alignment vertical="center"/>
    </xf>
    <xf numFmtId="0" fontId="10" fillId="2" borderId="6" xfId="0" applyFont="1" applyFill="1" applyBorder="1" applyAlignment="1">
      <alignment horizontal="center"/>
    </xf>
    <xf numFmtId="0" fontId="9" fillId="0" borderId="0" xfId="0" applyFont="1" applyAlignment="1">
      <alignment vertical="center"/>
    </xf>
    <xf numFmtId="0" fontId="9" fillId="17" borderId="1" xfId="0" applyFont="1" applyFill="1" applyBorder="1" applyAlignment="1">
      <alignment horizontal="center" vertical="center" wrapText="1"/>
    </xf>
    <xf numFmtId="165" fontId="25" fillId="0" borderId="0" xfId="0" applyNumberFormat="1" applyFont="1" applyFill="1" applyBorder="1"/>
    <xf numFmtId="0" fontId="9" fillId="17" borderId="0" xfId="0" applyFont="1" applyFill="1" applyBorder="1" applyAlignment="1">
      <alignment horizontal="center" vertical="center" wrapText="1"/>
    </xf>
    <xf numFmtId="0" fontId="9" fillId="17" borderId="0" xfId="0" applyFont="1" applyFill="1" applyBorder="1"/>
    <xf numFmtId="168" fontId="25" fillId="0" borderId="0" xfId="1" applyNumberFormat="1" applyFont="1" applyFill="1" applyBorder="1"/>
    <xf numFmtId="166" fontId="25" fillId="0" borderId="0" xfId="1" applyNumberFormat="1" applyFont="1" applyFill="1" applyBorder="1"/>
    <xf numFmtId="0" fontId="9" fillId="0" borderId="9" xfId="0" applyFont="1" applyFill="1" applyBorder="1" applyAlignment="1">
      <alignment horizontal="center" vertical="center"/>
    </xf>
    <xf numFmtId="0" fontId="25" fillId="0" borderId="35" xfId="0" applyNumberFormat="1" applyFont="1" applyFill="1" applyBorder="1" applyAlignment="1">
      <alignment horizontal="center" vertical="center"/>
    </xf>
    <xf numFmtId="0" fontId="9" fillId="0" borderId="0" xfId="0" applyFont="1" applyFill="1" applyAlignment="1">
      <alignment vertical="center"/>
    </xf>
    <xf numFmtId="166" fontId="24" fillId="0" borderId="1" xfId="1" applyNumberFormat="1" applyFont="1" applyFill="1" applyBorder="1" applyAlignment="1">
      <alignment vertical="center"/>
    </xf>
    <xf numFmtId="0" fontId="15" fillId="0" borderId="0" xfId="0" applyFont="1" applyFill="1" applyAlignment="1">
      <alignment horizontal="center" wrapText="1"/>
    </xf>
    <xf numFmtId="0" fontId="55" fillId="17" borderId="6" xfId="0" applyFont="1" applyFill="1" applyBorder="1" applyAlignment="1">
      <alignment horizontal="center" vertical="center"/>
    </xf>
    <xf numFmtId="174" fontId="9" fillId="4" borderId="1" xfId="0" applyNumberFormat="1" applyFont="1" applyFill="1" applyBorder="1"/>
    <xf numFmtId="1" fontId="9" fillId="4" borderId="1" xfId="0" applyNumberFormat="1" applyFont="1" applyFill="1" applyBorder="1"/>
    <xf numFmtId="0" fontId="9" fillId="0" borderId="0" xfId="0" applyFont="1" applyAlignment="1">
      <alignment vertical="center"/>
    </xf>
    <xf numFmtId="0" fontId="26" fillId="17" borderId="6" xfId="0" applyFont="1" applyFill="1" applyBorder="1" applyAlignment="1">
      <alignment vertical="center"/>
    </xf>
    <xf numFmtId="177" fontId="9" fillId="4" borderId="1" xfId="0" applyNumberFormat="1" applyFont="1" applyFill="1" applyBorder="1"/>
    <xf numFmtId="0" fontId="9" fillId="4" borderId="1" xfId="0" applyNumberFormat="1" applyFont="1" applyFill="1" applyBorder="1" applyAlignment="1">
      <alignment horizontal="center"/>
    </xf>
    <xf numFmtId="0" fontId="11" fillId="3" borderId="0" xfId="0" applyFont="1" applyFill="1" applyAlignment="1">
      <alignment horizontal="right"/>
    </xf>
    <xf numFmtId="165"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172" fontId="9" fillId="0" borderId="1" xfId="0" applyNumberFormat="1" applyFont="1" applyFill="1" applyBorder="1" applyAlignment="1">
      <alignment horizontal="center"/>
    </xf>
    <xf numFmtId="165" fontId="24" fillId="0" borderId="1" xfId="0" applyNumberFormat="1" applyFont="1" applyFill="1" applyBorder="1" applyAlignment="1">
      <alignment horizontal="center"/>
    </xf>
    <xf numFmtId="172" fontId="24" fillId="0" borderId="1" xfId="0" applyNumberFormat="1" applyFont="1" applyFill="1" applyBorder="1" applyAlignment="1">
      <alignment horizontal="center"/>
    </xf>
    <xf numFmtId="164" fontId="24" fillId="0" borderId="1" xfId="0" applyNumberFormat="1" applyFont="1" applyFill="1" applyBorder="1" applyAlignment="1">
      <alignment horizontal="center"/>
    </xf>
    <xf numFmtId="0" fontId="9" fillId="17" borderId="36" xfId="0" applyFont="1" applyFill="1" applyBorder="1" applyAlignment="1">
      <alignment vertical="center"/>
    </xf>
    <xf numFmtId="0" fontId="9" fillId="17" borderId="37" xfId="0" applyFont="1" applyFill="1" applyBorder="1" applyAlignment="1">
      <alignment vertical="center"/>
    </xf>
    <xf numFmtId="0" fontId="9" fillId="20" borderId="9" xfId="0" applyFont="1" applyFill="1" applyBorder="1" applyAlignment="1">
      <alignment vertical="center"/>
    </xf>
    <xf numFmtId="0" fontId="34" fillId="3" borderId="0" xfId="2" applyFont="1" applyFill="1" applyBorder="1" applyAlignment="1">
      <alignment vertical="center"/>
    </xf>
    <xf numFmtId="0" fontId="9" fillId="0" borderId="0" xfId="0" applyFont="1" applyAlignment="1">
      <alignment vertical="center"/>
    </xf>
    <xf numFmtId="164" fontId="25" fillId="4" borderId="1" xfId="0" applyNumberFormat="1" applyFont="1" applyFill="1" applyBorder="1"/>
    <xf numFmtId="0" fontId="25" fillId="0" borderId="0" xfId="0" applyFont="1"/>
    <xf numFmtId="0" fontId="21" fillId="11" borderId="0" xfId="0" applyFont="1" applyFill="1" applyAlignment="1"/>
    <xf numFmtId="0" fontId="21" fillId="3" borderId="0" xfId="0" applyFont="1" applyFill="1" applyAlignment="1"/>
    <xf numFmtId="164" fontId="25" fillId="7" borderId="1" xfId="0" applyNumberFormat="1" applyFont="1" applyFill="1" applyBorder="1"/>
    <xf numFmtId="164" fontId="25" fillId="5" borderId="1" xfId="0" applyNumberFormat="1" applyFont="1" applyFill="1" applyBorder="1"/>
    <xf numFmtId="0" fontId="21" fillId="2" borderId="0" xfId="0" applyFont="1" applyFill="1"/>
    <xf numFmtId="165" fontId="25" fillId="4" borderId="1" xfId="0" applyNumberFormat="1" applyFont="1" applyFill="1" applyBorder="1"/>
    <xf numFmtId="165" fontId="25" fillId="5" borderId="1" xfId="0" applyNumberFormat="1" applyFont="1" applyFill="1" applyBorder="1"/>
    <xf numFmtId="165" fontId="25" fillId="7" borderId="1" xfId="0" applyNumberFormat="1" applyFont="1" applyFill="1" applyBorder="1" applyAlignment="1">
      <alignment horizontal="right"/>
    </xf>
    <xf numFmtId="165" fontId="25" fillId="4" borderId="1" xfId="1" applyNumberFormat="1" applyFont="1" applyFill="1" applyBorder="1"/>
    <xf numFmtId="164" fontId="25" fillId="4" borderId="1" xfId="1" applyNumberFormat="1" applyFont="1" applyFill="1" applyBorder="1"/>
    <xf numFmtId="0" fontId="9" fillId="0" borderId="1" xfId="0" applyFont="1" applyBorder="1" applyAlignment="1">
      <alignment vertical="center"/>
    </xf>
    <xf numFmtId="0" fontId="9"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42" fillId="17" borderId="1" xfId="0" applyFont="1" applyFill="1" applyBorder="1" applyAlignment="1">
      <alignment vertical="center"/>
    </xf>
    <xf numFmtId="0" fontId="43" fillId="0" borderId="19" xfId="0" applyNumberFormat="1" applyFont="1" applyBorder="1" applyAlignment="1">
      <alignment vertical="center"/>
    </xf>
    <xf numFmtId="0" fontId="43" fillId="0" borderId="3" xfId="0" applyNumberFormat="1" applyFont="1" applyBorder="1" applyAlignment="1">
      <alignment vertical="center"/>
    </xf>
    <xf numFmtId="0" fontId="24" fillId="0" borderId="19" xfId="0" applyNumberFormat="1" applyFont="1" applyBorder="1" applyAlignment="1">
      <alignment vertical="center"/>
    </xf>
    <xf numFmtId="0" fontId="24" fillId="0" borderId="3" xfId="0" applyNumberFormat="1" applyFont="1" applyBorder="1" applyAlignment="1">
      <alignment vertical="center"/>
    </xf>
    <xf numFmtId="0" fontId="27" fillId="0" borderId="19" xfId="0" applyNumberFormat="1" applyFont="1" applyBorder="1" applyAlignment="1">
      <alignment vertical="center"/>
    </xf>
    <xf numFmtId="0" fontId="27" fillId="0" borderId="3" xfId="0" applyNumberFormat="1" applyFont="1" applyBorder="1" applyAlignment="1">
      <alignment vertical="center"/>
    </xf>
    <xf numFmtId="0" fontId="25" fillId="0" borderId="19" xfId="0" applyNumberFormat="1" applyFont="1" applyBorder="1" applyAlignment="1">
      <alignment vertical="center"/>
    </xf>
    <xf numFmtId="0" fontId="25" fillId="0" borderId="3" xfId="0" applyNumberFormat="1" applyFont="1" applyBorder="1" applyAlignment="1">
      <alignment vertical="center"/>
    </xf>
    <xf numFmtId="0" fontId="41" fillId="2" borderId="19" xfId="0" applyFont="1" applyFill="1" applyBorder="1" applyAlignment="1">
      <alignment vertical="center"/>
    </xf>
    <xf numFmtId="0" fontId="41" fillId="2" borderId="3" xfId="0" applyFont="1" applyFill="1" applyBorder="1" applyAlignment="1">
      <alignment vertical="center"/>
    </xf>
    <xf numFmtId="0" fontId="9" fillId="0" borderId="22" xfId="0" applyFont="1" applyBorder="1" applyAlignment="1"/>
    <xf numFmtId="0" fontId="9" fillId="4" borderId="19" xfId="0" applyFont="1" applyFill="1" applyBorder="1" applyAlignment="1">
      <alignment vertical="center"/>
    </xf>
    <xf numFmtId="0" fontId="9" fillId="4" borderId="3" xfId="0" applyFont="1" applyFill="1" applyBorder="1" applyAlignment="1">
      <alignment vertical="center"/>
    </xf>
    <xf numFmtId="0" fontId="9" fillId="5" borderId="19" xfId="0" applyFont="1" applyFill="1" applyBorder="1" applyAlignment="1">
      <alignment vertical="center"/>
    </xf>
    <xf numFmtId="0" fontId="9" fillId="5" borderId="3" xfId="0" applyFont="1" applyFill="1" applyBorder="1" applyAlignment="1">
      <alignment vertical="center"/>
    </xf>
    <xf numFmtId="0" fontId="9" fillId="3" borderId="19" xfId="0" applyFont="1" applyFill="1" applyBorder="1" applyAlignment="1">
      <alignment vertical="center"/>
    </xf>
    <xf numFmtId="0" fontId="9" fillId="3" borderId="3" xfId="0" applyFont="1" applyFill="1" applyBorder="1" applyAlignment="1">
      <alignment vertical="center"/>
    </xf>
    <xf numFmtId="0" fontId="9" fillId="0" borderId="18" xfId="0" applyNumberFormat="1" applyFont="1" applyBorder="1" applyAlignment="1"/>
    <xf numFmtId="0" fontId="2" fillId="4" borderId="19" xfId="0" applyNumberFormat="1" applyFont="1" applyFill="1" applyBorder="1" applyAlignment="1">
      <alignment vertical="center"/>
    </xf>
    <xf numFmtId="0" fontId="2" fillId="4" borderId="3" xfId="0" applyNumberFormat="1" applyFont="1" applyFill="1" applyBorder="1" applyAlignment="1">
      <alignment vertical="center"/>
    </xf>
    <xf numFmtId="0" fontId="2" fillId="8" borderId="19" xfId="0" applyNumberFormat="1" applyFont="1" applyFill="1" applyBorder="1" applyAlignment="1">
      <alignment vertical="center"/>
    </xf>
    <xf numFmtId="0" fontId="2" fillId="8" borderId="3" xfId="0" applyNumberFormat="1" applyFont="1" applyFill="1" applyBorder="1" applyAlignment="1">
      <alignment vertical="center"/>
    </xf>
    <xf numFmtId="0" fontId="9" fillId="0" borderId="0" xfId="0" applyFont="1" applyAlignment="1">
      <alignment vertical="center"/>
    </xf>
    <xf numFmtId="0" fontId="7" fillId="0" borderId="0" xfId="0" applyFont="1" applyAlignment="1">
      <alignment vertical="center"/>
    </xf>
    <xf numFmtId="0" fontId="44" fillId="0" borderId="0" xfId="0" applyFont="1" applyAlignment="1">
      <alignment vertical="center"/>
    </xf>
    <xf numFmtId="0" fontId="10" fillId="2" borderId="0" xfId="0" applyNumberFormat="1" applyFont="1" applyFill="1" applyAlignment="1">
      <alignment vertical="center"/>
    </xf>
    <xf numFmtId="0" fontId="20" fillId="3" borderId="0" xfId="0" applyNumberFormat="1" applyFont="1" applyFill="1" applyAlignment="1">
      <alignment vertical="center"/>
    </xf>
    <xf numFmtId="0" fontId="5" fillId="6" borderId="0" xfId="0" applyFont="1" applyFill="1" applyAlignment="1">
      <alignment vertical="center"/>
    </xf>
    <xf numFmtId="0" fontId="58" fillId="4" borderId="19" xfId="0" applyNumberFormat="1" applyFont="1" applyFill="1" applyBorder="1" applyAlignment="1">
      <alignment vertical="center"/>
    </xf>
    <xf numFmtId="0" fontId="58" fillId="4" borderId="3" xfId="0" applyNumberFormat="1" applyFont="1" applyFill="1" applyBorder="1" applyAlignment="1">
      <alignment vertical="center"/>
    </xf>
    <xf numFmtId="0" fontId="54" fillId="2" borderId="27" xfId="0" applyFont="1" applyFill="1" applyBorder="1" applyAlignment="1">
      <alignment horizontal="center" vertical="center"/>
    </xf>
    <xf numFmtId="0" fontId="54" fillId="2" borderId="23" xfId="0" applyFont="1" applyFill="1" applyBorder="1" applyAlignment="1">
      <alignment horizontal="center" vertical="center"/>
    </xf>
    <xf numFmtId="0" fontId="54" fillId="2" borderId="29" xfId="0" applyFont="1" applyFill="1" applyBorder="1" applyAlignment="1">
      <alignment horizontal="center" vertical="center"/>
    </xf>
    <xf numFmtId="0" fontId="54" fillId="2" borderId="30" xfId="0" applyFont="1" applyFill="1" applyBorder="1" applyAlignment="1">
      <alignment horizontal="center" vertical="center"/>
    </xf>
    <xf numFmtId="0" fontId="54" fillId="2" borderId="25" xfId="0" applyFont="1" applyFill="1" applyBorder="1" applyAlignment="1">
      <alignment vertical="center"/>
    </xf>
    <xf numFmtId="0" fontId="54" fillId="2" borderId="27" xfId="0" applyFont="1" applyFill="1" applyBorder="1" applyAlignment="1">
      <alignment vertical="center"/>
    </xf>
    <xf numFmtId="0" fontId="11" fillId="3" borderId="0" xfId="0" applyFont="1" applyFill="1" applyAlignment="1">
      <alignment horizontal="center"/>
    </xf>
    <xf numFmtId="0" fontId="15" fillId="0" borderId="0" xfId="0" applyFont="1" applyAlignment="1">
      <alignment horizontal="center"/>
    </xf>
    <xf numFmtId="0" fontId="3" fillId="0" borderId="0" xfId="0" applyFont="1" applyAlignment="1">
      <alignment horizontal="center"/>
    </xf>
    <xf numFmtId="0" fontId="51" fillId="2" borderId="0" xfId="0" applyFont="1" applyFill="1" applyBorder="1" applyAlignment="1">
      <alignment horizontal="center" vertical="center"/>
    </xf>
    <xf numFmtId="0" fontId="9" fillId="17" borderId="6" xfId="0" applyFont="1" applyFill="1" applyBorder="1" applyAlignment="1">
      <alignment horizontal="center"/>
    </xf>
    <xf numFmtId="0" fontId="9" fillId="17" borderId="6"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9" fillId="17" borderId="0"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22" xfId="0" applyFont="1" applyFill="1" applyBorder="1" applyAlignment="1">
      <alignment horizontal="center" vertical="center" wrapText="1"/>
    </xf>
    <xf numFmtId="0" fontId="56" fillId="17" borderId="6" xfId="0" applyFont="1" applyFill="1" applyBorder="1" applyAlignment="1">
      <alignment horizontal="center" vertical="center" wrapText="1" readingOrder="1"/>
    </xf>
    <xf numFmtId="0" fontId="56" fillId="17" borderId="7" xfId="0" applyFont="1" applyFill="1" applyBorder="1" applyAlignment="1">
      <alignment horizontal="center" vertical="center" wrapText="1" readingOrder="1"/>
    </xf>
    <xf numFmtId="0" fontId="56" fillId="17" borderId="9" xfId="0" applyFont="1" applyFill="1" applyBorder="1" applyAlignment="1">
      <alignment horizontal="center" vertical="center" wrapText="1" readingOrder="1"/>
    </xf>
    <xf numFmtId="0" fontId="10" fillId="2" borderId="6" xfId="0" applyFont="1" applyFill="1" applyBorder="1" applyAlignment="1">
      <alignment horizontal="center" vertical="top"/>
    </xf>
    <xf numFmtId="0" fontId="10" fillId="2" borderId="6" xfId="0" applyFont="1" applyFill="1" applyBorder="1" applyAlignment="1">
      <alignment horizontal="center"/>
    </xf>
    <xf numFmtId="0" fontId="10" fillId="2" borderId="7" xfId="0" applyFont="1" applyFill="1" applyBorder="1" applyAlignment="1">
      <alignment horizontal="center" vertical="top"/>
    </xf>
    <xf numFmtId="0" fontId="10" fillId="2" borderId="8" xfId="0" applyFont="1" applyFill="1" applyBorder="1" applyAlignment="1">
      <alignment horizontal="center" vertical="top"/>
    </xf>
    <xf numFmtId="0" fontId="10" fillId="2" borderId="9" xfId="0" applyFont="1" applyFill="1" applyBorder="1" applyAlignment="1">
      <alignment horizontal="center" vertical="top"/>
    </xf>
    <xf numFmtId="0" fontId="9" fillId="17" borderId="36" xfId="0" applyFont="1" applyFill="1" applyBorder="1" applyAlignment="1">
      <alignment vertical="center"/>
    </xf>
    <xf numFmtId="0" fontId="9" fillId="17" borderId="37" xfId="0" applyFont="1" applyFill="1" applyBorder="1" applyAlignment="1">
      <alignment vertical="center"/>
    </xf>
    <xf numFmtId="0" fontId="9" fillId="17" borderId="24" xfId="0" applyFont="1" applyFill="1" applyBorder="1" applyAlignment="1">
      <alignment vertical="center"/>
    </xf>
    <xf numFmtId="0" fontId="26" fillId="17" borderId="36" xfId="0" applyFont="1" applyFill="1" applyBorder="1" applyAlignment="1">
      <alignment vertical="center"/>
    </xf>
    <xf numFmtId="0" fontId="26" fillId="17" borderId="37" xfId="0" applyFont="1" applyFill="1" applyBorder="1" applyAlignment="1">
      <alignment vertical="center"/>
    </xf>
    <xf numFmtId="0" fontId="26" fillId="17" borderId="24" xfId="0" applyFont="1" applyFill="1" applyBorder="1" applyAlignment="1">
      <alignment vertical="center"/>
    </xf>
  </cellXfs>
  <cellStyles count="4">
    <cellStyle name="Hyperlink" xfId="2" builtinId="8"/>
    <cellStyle name="Normal" xfId="0" builtinId="0"/>
    <cellStyle name="Normal 2 2" xfId="3"/>
    <cellStyle name="Percent" xfId="1" builtinId="5"/>
  </cellStyles>
  <dxfs count="91">
    <dxf>
      <fill>
        <patternFill>
          <bgColor theme="7"/>
        </patternFill>
      </fill>
    </dxf>
    <dxf>
      <fill>
        <patternFill>
          <bgColor theme="9"/>
        </patternFill>
      </fill>
    </dxf>
    <dxf>
      <fill>
        <patternFill>
          <bgColor theme="7"/>
        </patternFill>
      </fill>
    </dxf>
    <dxf>
      <fill>
        <patternFill>
          <bgColor theme="9"/>
        </patternFill>
      </fill>
    </dxf>
    <dxf>
      <fill>
        <patternFill>
          <bgColor theme="7"/>
        </patternFill>
      </fill>
    </dxf>
    <dxf>
      <fill>
        <patternFill>
          <bgColor theme="9"/>
        </patternFill>
      </fill>
    </dxf>
    <dxf>
      <fill>
        <patternFill>
          <bgColor theme="7"/>
        </patternFill>
      </fill>
    </dxf>
    <dxf>
      <fill>
        <patternFill>
          <bgColor theme="9"/>
        </patternFill>
      </fill>
    </dxf>
    <dxf>
      <fill>
        <patternFill>
          <bgColor theme="7"/>
        </patternFill>
      </fill>
    </dxf>
    <dxf>
      <fill>
        <patternFill>
          <bgColor theme="9"/>
        </patternFill>
      </fill>
    </dxf>
    <dxf>
      <font>
        <color theme="1"/>
      </font>
      <fill>
        <patternFill>
          <bgColor rgb="FFFFFFFF"/>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rgb="FF709500"/>
        </patternFill>
      </fill>
    </dxf>
    <dxf>
      <font>
        <b/>
        <i val="0"/>
        <color theme="0"/>
      </font>
      <fill>
        <patternFill>
          <bgColor rgb="FF003479"/>
        </patternFill>
      </fill>
    </dxf>
    <dxf>
      <font>
        <b/>
        <i val="0"/>
        <color theme="0"/>
      </font>
      <fill>
        <patternFill>
          <bgColor rgb="FFCA0083"/>
        </patternFill>
      </fill>
    </dxf>
    <dxf>
      <font>
        <b/>
        <i val="0"/>
        <color theme="0"/>
      </font>
      <fill>
        <gradientFill degree="45">
          <stop position="0">
            <color theme="3"/>
          </stop>
          <stop position="1">
            <color theme="8"/>
          </stop>
        </gradientFill>
      </fill>
    </dxf>
    <dxf>
      <font>
        <b val="0"/>
        <i val="0"/>
        <color theme="3" tint="-0.24994659260841701"/>
      </font>
      <fill>
        <patternFill>
          <bgColor rgb="FFB9C884"/>
        </patternFill>
      </fill>
    </dxf>
    <dxf>
      <font>
        <color theme="3" tint="-0.24994659260841701"/>
      </font>
      <fill>
        <patternFill>
          <bgColor rgb="FFF4AA00"/>
        </patternFill>
      </fill>
    </dxf>
    <dxf>
      <font>
        <b val="0"/>
        <i val="0"/>
        <color theme="3" tint="-0.24994659260841701"/>
      </font>
      <fill>
        <patternFill>
          <bgColor rgb="FF709500"/>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rgb="FF709500"/>
        </patternFill>
      </fill>
    </dxf>
    <dxf>
      <font>
        <color theme="1"/>
      </font>
      <fill>
        <patternFill>
          <bgColor rgb="FFFFFFFF"/>
        </patternFill>
      </fill>
    </dxf>
    <dxf>
      <font>
        <color theme="1"/>
      </font>
      <fill>
        <patternFill>
          <bgColor rgb="FFFFFFFF"/>
        </patternFill>
      </fill>
    </dxf>
    <dxf>
      <font>
        <color theme="1"/>
      </font>
      <fill>
        <patternFill>
          <bgColor rgb="FFFFFFFF"/>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rgb="FF709500"/>
        </patternFill>
      </fill>
    </dxf>
    <dxf>
      <font>
        <color theme="1"/>
      </font>
      <fill>
        <patternFill>
          <bgColor rgb="FFFFFFFF"/>
        </patternFill>
      </fill>
    </dxf>
    <dxf>
      <font>
        <color theme="1"/>
      </font>
      <fill>
        <patternFill>
          <bgColor rgb="FFFFFFFF"/>
        </patternFill>
      </fill>
    </dxf>
    <dxf>
      <font>
        <color theme="1"/>
      </font>
      <fill>
        <patternFill>
          <bgColor rgb="FFFFFFFF"/>
        </patternFill>
      </fill>
    </dxf>
    <dxf>
      <font>
        <color theme="1"/>
      </font>
      <fill>
        <patternFill>
          <bgColor rgb="FFFFFFFF"/>
        </patternFill>
      </fill>
    </dxf>
    <dxf>
      <font>
        <color theme="1"/>
      </font>
      <fill>
        <patternFill>
          <bgColor rgb="FFFFFFFF"/>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rgb="FF709500"/>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rgb="FF709500"/>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rgb="FF709500"/>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rgb="FF709500"/>
        </patternFill>
      </fill>
    </dxf>
    <dxf>
      <font>
        <color theme="3" tint="-0.24994659260841701"/>
      </font>
      <fill>
        <patternFill>
          <bgColor rgb="FFB9C884"/>
        </patternFill>
      </fill>
    </dxf>
    <dxf>
      <font>
        <color theme="3" tint="-0.24994659260841701"/>
      </font>
      <fill>
        <patternFill>
          <bgColor rgb="FFF4AA00"/>
        </patternFill>
      </fill>
    </dxf>
    <dxf>
      <font>
        <color theme="3" tint="-0.24994659260841701"/>
      </font>
      <fill>
        <patternFill>
          <bgColor rgb="FF709500"/>
        </patternFill>
      </fill>
    </dxf>
    <dxf>
      <font>
        <b/>
        <i val="0"/>
        <color theme="0"/>
      </font>
      <fill>
        <patternFill>
          <bgColor rgb="FF003479"/>
        </patternFill>
      </fill>
    </dxf>
    <dxf>
      <font>
        <b/>
        <i val="0"/>
        <color theme="0"/>
      </font>
      <fill>
        <patternFill>
          <bgColor rgb="FFCA0083"/>
        </patternFill>
      </fill>
    </dxf>
    <dxf>
      <font>
        <b/>
        <i val="0"/>
        <color theme="0"/>
      </font>
      <fill>
        <gradientFill degree="45">
          <stop position="0">
            <color theme="3"/>
          </stop>
          <stop position="1">
            <color theme="8"/>
          </stop>
        </gradientFill>
      </fill>
    </dxf>
    <dxf>
      <font>
        <b/>
        <i val="0"/>
        <color theme="3" tint="-0.24994659260841701"/>
      </font>
      <fill>
        <patternFill>
          <bgColor rgb="FF709500"/>
        </patternFill>
      </fill>
    </dxf>
    <dxf>
      <font>
        <b/>
        <i val="0"/>
        <color theme="3" tint="-0.24994659260841701"/>
      </font>
      <fill>
        <patternFill>
          <bgColor rgb="FFF4AA00"/>
        </patternFill>
      </fill>
    </dxf>
    <dxf>
      <font>
        <b/>
        <i val="0"/>
        <color theme="3" tint="-0.24994659260841701"/>
      </font>
      <fill>
        <patternFill>
          <bgColor rgb="FFB9C884"/>
        </patternFill>
      </fill>
    </dxf>
    <dxf>
      <font>
        <b/>
        <i val="0"/>
        <color theme="3" tint="-0.24994659260841701"/>
      </font>
      <fill>
        <patternFill>
          <bgColor rgb="FF709500"/>
        </patternFill>
      </fill>
    </dxf>
    <dxf>
      <font>
        <b/>
        <i val="0"/>
        <color theme="3" tint="-0.24994659260841701"/>
      </font>
      <fill>
        <patternFill>
          <bgColor rgb="FFF4AA00"/>
        </patternFill>
      </fill>
    </dxf>
    <dxf>
      <font>
        <b/>
        <i val="0"/>
        <color theme="3" tint="-0.24994659260841701"/>
      </font>
      <fill>
        <patternFill>
          <bgColor rgb="FFB9C884"/>
        </patternFill>
      </fill>
    </dxf>
    <dxf>
      <font>
        <b/>
        <i val="0"/>
        <color theme="3" tint="-0.24994659260841701"/>
      </font>
      <fill>
        <patternFill>
          <bgColor rgb="FF709500"/>
        </patternFill>
      </fill>
    </dxf>
    <dxf>
      <font>
        <b/>
        <i val="0"/>
        <color theme="3"/>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
      <font>
        <b/>
        <i val="0"/>
        <color theme="3" tint="-0.24994659260841701"/>
      </font>
      <fill>
        <patternFill>
          <bgColor rgb="FF709500"/>
        </patternFill>
      </fill>
    </dxf>
    <dxf>
      <font>
        <b/>
        <i val="0"/>
        <color theme="3" tint="-0.24994659260841701"/>
      </font>
      <fill>
        <patternFill>
          <bgColor rgb="FFB9C884"/>
        </patternFill>
      </fill>
    </dxf>
    <dxf>
      <font>
        <b/>
        <i val="0"/>
        <color theme="3" tint="-0.24994659260841701"/>
      </font>
      <fill>
        <patternFill>
          <bgColor rgb="FFF4AA00"/>
        </patternFill>
      </fill>
    </dxf>
  </dxfs>
  <tableStyles count="0" defaultTableStyle="TableStyleMedium2" defaultPivotStyle="PivotStyleLight16"/>
  <colors>
    <mruColors>
      <color rgb="FFFFFFCC"/>
      <color rgb="FF536F00"/>
      <color rgb="FF628300"/>
      <color rgb="FFA1B584"/>
      <color rgb="FFC3CFB5"/>
      <color rgb="FFC03410"/>
      <color rgb="FFE13F15"/>
      <color rgb="FFFE9086"/>
      <color rgb="FFFEBBB6"/>
      <color rgb="FF980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OUTPUT│Totex!$E$32</c:f>
              <c:strCache>
                <c:ptCount val="1"/>
                <c:pt idx="0">
                  <c:v>2015-16</c:v>
                </c:pt>
              </c:strCache>
            </c:strRef>
          </c:tx>
          <c:spPr>
            <a:solidFill>
              <a:schemeClr val="accent1">
                <a:tint val="54000"/>
              </a:schemeClr>
            </a:solidFill>
            <a:ln>
              <a:noFill/>
            </a:ln>
            <a:effectLst/>
          </c:spPr>
          <c:invertIfNegative val="0"/>
          <c:dPt>
            <c:idx val="17"/>
            <c:invertIfNegative val="0"/>
            <c:bubble3D val="0"/>
            <c:spPr>
              <a:solidFill>
                <a:srgbClr val="E4B5C9"/>
              </a:solidFill>
              <a:ln>
                <a:noFill/>
              </a:ln>
              <a:effectLst/>
            </c:spPr>
            <c:extLst xmlns:c16r2="http://schemas.microsoft.com/office/drawing/2015/06/chart">
              <c:ext xmlns:c16="http://schemas.microsoft.com/office/drawing/2014/chart" uri="{C3380CC4-5D6E-409C-BE32-E72D297353CC}">
                <c16:uniqueId val="{00000001-4BAE-48E1-BE7F-BDC5CB461E2F}"/>
              </c:ext>
            </c:extLst>
          </c:dPt>
          <c:cat>
            <c:strRef>
              <c:f>OUTPUT│Totex!$D$33:$D$50</c:f>
              <c:strCache>
                <c:ptCount val="18"/>
                <c:pt idx="0">
                  <c:v>SWB</c:v>
                </c:pt>
                <c:pt idx="1">
                  <c:v>ANH</c:v>
                </c:pt>
                <c:pt idx="2">
                  <c:v>WSX</c:v>
                </c:pt>
                <c:pt idx="3">
                  <c:v>SSC</c:v>
                </c:pt>
                <c:pt idx="4">
                  <c:v>SEW</c:v>
                </c:pt>
                <c:pt idx="5">
                  <c:v>UU</c:v>
                </c:pt>
                <c:pt idx="6">
                  <c:v>NES</c:v>
                </c:pt>
                <c:pt idx="7">
                  <c:v>AFW</c:v>
                </c:pt>
                <c:pt idx="8">
                  <c:v>WSH</c:v>
                </c:pt>
                <c:pt idx="9">
                  <c:v>PRT</c:v>
                </c:pt>
                <c:pt idx="10">
                  <c:v>YKY</c:v>
                </c:pt>
                <c:pt idx="11">
                  <c:v>SVE</c:v>
                </c:pt>
                <c:pt idx="12">
                  <c:v>SES</c:v>
                </c:pt>
                <c:pt idx="13">
                  <c:v>TMS</c:v>
                </c:pt>
                <c:pt idx="14">
                  <c:v>BRL</c:v>
                </c:pt>
                <c:pt idx="15">
                  <c:v>HDD</c:v>
                </c:pt>
                <c:pt idx="16">
                  <c:v>SRN</c:v>
                </c:pt>
                <c:pt idx="17">
                  <c:v>Industry</c:v>
                </c:pt>
              </c:strCache>
            </c:strRef>
          </c:cat>
          <c:val>
            <c:numRef>
              <c:f>OUTPUT│Totex!$E$33:$E$50</c:f>
              <c:numCache>
                <c:formatCode>0.00%;\-0.00%;\-</c:formatCode>
                <c:ptCount val="18"/>
                <c:pt idx="0">
                  <c:v>-0.23242789134696162</c:v>
                </c:pt>
                <c:pt idx="1">
                  <c:v>-7.7840044930763852E-2</c:v>
                </c:pt>
                <c:pt idx="2">
                  <c:v>-9.5831869738750533E-2</c:v>
                </c:pt>
                <c:pt idx="3">
                  <c:v>-5.4677817955678505E-2</c:v>
                </c:pt>
                <c:pt idx="4">
                  <c:v>-3.1169709263015637E-2</c:v>
                </c:pt>
                <c:pt idx="5">
                  <c:v>0.15128554430412489</c:v>
                </c:pt>
                <c:pt idx="6">
                  <c:v>-0.11263159716663115</c:v>
                </c:pt>
                <c:pt idx="7">
                  <c:v>-0.10541356492969364</c:v>
                </c:pt>
                <c:pt idx="8">
                  <c:v>-0.18255046289270013</c:v>
                </c:pt>
                <c:pt idx="9">
                  <c:v>-6.7885117493472494E-2</c:v>
                </c:pt>
                <c:pt idx="10">
                  <c:v>-0.21966610230647537</c:v>
                </c:pt>
                <c:pt idx="11">
                  <c:v>-1.8955136998848199E-2</c:v>
                </c:pt>
                <c:pt idx="12">
                  <c:v>-5.0291857738159328E-2</c:v>
                </c:pt>
                <c:pt idx="13">
                  <c:v>3.7524214574987287E-2</c:v>
                </c:pt>
                <c:pt idx="14">
                  <c:v>-0.26305858611353089</c:v>
                </c:pt>
                <c:pt idx="15">
                  <c:v>-0.24360924390363528</c:v>
                </c:pt>
                <c:pt idx="16">
                  <c:v>-0.20534779090840971</c:v>
                </c:pt>
                <c:pt idx="17">
                  <c:v>-5.7912574733999328E-2</c:v>
                </c:pt>
              </c:numCache>
            </c:numRef>
          </c:val>
          <c:extLst xmlns:c16r2="http://schemas.microsoft.com/office/drawing/2015/06/chart">
            <c:ext xmlns:c16="http://schemas.microsoft.com/office/drawing/2014/chart" uri="{C3380CC4-5D6E-409C-BE32-E72D297353CC}">
              <c16:uniqueId val="{00000002-4BAE-48E1-BE7F-BDC5CB461E2F}"/>
            </c:ext>
          </c:extLst>
        </c:ser>
        <c:ser>
          <c:idx val="1"/>
          <c:order val="1"/>
          <c:tx>
            <c:strRef>
              <c:f>OUTPUT│Totex!$F$32</c:f>
              <c:strCache>
                <c:ptCount val="1"/>
                <c:pt idx="0">
                  <c:v>2016-17</c:v>
                </c:pt>
              </c:strCache>
            </c:strRef>
          </c:tx>
          <c:spPr>
            <a:solidFill>
              <a:schemeClr val="accent1">
                <a:tint val="77000"/>
              </a:schemeClr>
            </a:solidFill>
            <a:ln>
              <a:noFill/>
            </a:ln>
            <a:effectLst/>
          </c:spPr>
          <c:invertIfNegative val="0"/>
          <c:dPt>
            <c:idx val="17"/>
            <c:invertIfNegative val="0"/>
            <c:bubble3D val="0"/>
            <c:spPr>
              <a:solidFill>
                <a:srgbClr val="D884AB"/>
              </a:solidFill>
              <a:ln>
                <a:noFill/>
              </a:ln>
              <a:effectLst/>
            </c:spPr>
            <c:extLst xmlns:c16r2="http://schemas.microsoft.com/office/drawing/2015/06/chart">
              <c:ext xmlns:c16="http://schemas.microsoft.com/office/drawing/2014/chart" uri="{C3380CC4-5D6E-409C-BE32-E72D297353CC}">
                <c16:uniqueId val="{00000004-4BAE-48E1-BE7F-BDC5CB461E2F}"/>
              </c:ext>
            </c:extLst>
          </c:dPt>
          <c:cat>
            <c:strRef>
              <c:f>OUTPUT│Totex!$D$33:$D$50</c:f>
              <c:strCache>
                <c:ptCount val="18"/>
                <c:pt idx="0">
                  <c:v>SWB</c:v>
                </c:pt>
                <c:pt idx="1">
                  <c:v>ANH</c:v>
                </c:pt>
                <c:pt idx="2">
                  <c:v>WSX</c:v>
                </c:pt>
                <c:pt idx="3">
                  <c:v>SSC</c:v>
                </c:pt>
                <c:pt idx="4">
                  <c:v>SEW</c:v>
                </c:pt>
                <c:pt idx="5">
                  <c:v>UU</c:v>
                </c:pt>
                <c:pt idx="6">
                  <c:v>NES</c:v>
                </c:pt>
                <c:pt idx="7">
                  <c:v>AFW</c:v>
                </c:pt>
                <c:pt idx="8">
                  <c:v>WSH</c:v>
                </c:pt>
                <c:pt idx="9">
                  <c:v>PRT</c:v>
                </c:pt>
                <c:pt idx="10">
                  <c:v>YKY</c:v>
                </c:pt>
                <c:pt idx="11">
                  <c:v>SVE</c:v>
                </c:pt>
                <c:pt idx="12">
                  <c:v>SES</c:v>
                </c:pt>
                <c:pt idx="13">
                  <c:v>TMS</c:v>
                </c:pt>
                <c:pt idx="14">
                  <c:v>BRL</c:v>
                </c:pt>
                <c:pt idx="15">
                  <c:v>HDD</c:v>
                </c:pt>
                <c:pt idx="16">
                  <c:v>SRN</c:v>
                </c:pt>
                <c:pt idx="17">
                  <c:v>Industry</c:v>
                </c:pt>
              </c:strCache>
            </c:strRef>
          </c:cat>
          <c:val>
            <c:numRef>
              <c:f>OUTPUT│Totex!$F$33:$F$50</c:f>
              <c:numCache>
                <c:formatCode>0.00%;\-0.00%;\-</c:formatCode>
                <c:ptCount val="18"/>
                <c:pt idx="0">
                  <c:v>-0.12983009043573582</c:v>
                </c:pt>
                <c:pt idx="1">
                  <c:v>-0.21242976009938744</c:v>
                </c:pt>
                <c:pt idx="2">
                  <c:v>-0.13877901818531319</c:v>
                </c:pt>
                <c:pt idx="3">
                  <c:v>-1.9333210940593575E-2</c:v>
                </c:pt>
                <c:pt idx="4">
                  <c:v>-8.2918537524053829E-2</c:v>
                </c:pt>
                <c:pt idx="5">
                  <c:v>0.11248771598634255</c:v>
                </c:pt>
                <c:pt idx="6">
                  <c:v>-0.17223270578253683</c:v>
                </c:pt>
                <c:pt idx="7">
                  <c:v>-1.836266884977494E-2</c:v>
                </c:pt>
                <c:pt idx="8">
                  <c:v>3.6159684793232172E-2</c:v>
                </c:pt>
                <c:pt idx="9">
                  <c:v>3.7988359530198379E-3</c:v>
                </c:pt>
                <c:pt idx="10">
                  <c:v>-3.3538888570938057E-2</c:v>
                </c:pt>
                <c:pt idx="11">
                  <c:v>-0.12113326442687987</c:v>
                </c:pt>
                <c:pt idx="12">
                  <c:v>-4.9546284957775452E-2</c:v>
                </c:pt>
                <c:pt idx="13">
                  <c:v>4.8280218787116955E-2</c:v>
                </c:pt>
                <c:pt idx="14">
                  <c:v>-0.10336526272877265</c:v>
                </c:pt>
                <c:pt idx="15">
                  <c:v>-0.21701010101010096</c:v>
                </c:pt>
                <c:pt idx="16">
                  <c:v>-0.17296218117853993</c:v>
                </c:pt>
                <c:pt idx="17">
                  <c:v>-5.6052134308644981E-2</c:v>
                </c:pt>
              </c:numCache>
            </c:numRef>
          </c:val>
          <c:extLst xmlns:c16r2="http://schemas.microsoft.com/office/drawing/2015/06/chart">
            <c:ext xmlns:c16="http://schemas.microsoft.com/office/drawing/2014/chart" uri="{C3380CC4-5D6E-409C-BE32-E72D297353CC}">
              <c16:uniqueId val="{00000005-4BAE-48E1-BE7F-BDC5CB461E2F}"/>
            </c:ext>
          </c:extLst>
        </c:ser>
        <c:ser>
          <c:idx val="2"/>
          <c:order val="2"/>
          <c:tx>
            <c:strRef>
              <c:f>OUTPUT│Totex!$G$32</c:f>
              <c:strCache>
                <c:ptCount val="1"/>
                <c:pt idx="0">
                  <c:v>2017-18</c:v>
                </c:pt>
              </c:strCache>
            </c:strRef>
          </c:tx>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7-4BAE-48E1-BE7F-BDC5CB461E2F}"/>
              </c:ext>
            </c:extLst>
          </c:dPt>
          <c:cat>
            <c:strRef>
              <c:f>OUTPUT│Totex!$D$33:$D$50</c:f>
              <c:strCache>
                <c:ptCount val="18"/>
                <c:pt idx="0">
                  <c:v>SWB</c:v>
                </c:pt>
                <c:pt idx="1">
                  <c:v>ANH</c:v>
                </c:pt>
                <c:pt idx="2">
                  <c:v>WSX</c:v>
                </c:pt>
                <c:pt idx="3">
                  <c:v>SSC</c:v>
                </c:pt>
                <c:pt idx="4">
                  <c:v>SEW</c:v>
                </c:pt>
                <c:pt idx="5">
                  <c:v>UU</c:v>
                </c:pt>
                <c:pt idx="6">
                  <c:v>NES</c:v>
                </c:pt>
                <c:pt idx="7">
                  <c:v>AFW</c:v>
                </c:pt>
                <c:pt idx="8">
                  <c:v>WSH</c:v>
                </c:pt>
                <c:pt idx="9">
                  <c:v>PRT</c:v>
                </c:pt>
                <c:pt idx="10">
                  <c:v>YKY</c:v>
                </c:pt>
                <c:pt idx="11">
                  <c:v>SVE</c:v>
                </c:pt>
                <c:pt idx="12">
                  <c:v>SES</c:v>
                </c:pt>
                <c:pt idx="13">
                  <c:v>TMS</c:v>
                </c:pt>
                <c:pt idx="14">
                  <c:v>BRL</c:v>
                </c:pt>
                <c:pt idx="15">
                  <c:v>HDD</c:v>
                </c:pt>
                <c:pt idx="16">
                  <c:v>SRN</c:v>
                </c:pt>
                <c:pt idx="17">
                  <c:v>Industry</c:v>
                </c:pt>
              </c:strCache>
            </c:strRef>
          </c:cat>
          <c:val>
            <c:numRef>
              <c:f>OUTPUT│Totex!$G$33:$G$50</c:f>
              <c:numCache>
                <c:formatCode>0.00%;\-0.00%;\-</c:formatCode>
                <c:ptCount val="18"/>
                <c:pt idx="0">
                  <c:v>-0.14481482651926714</c:v>
                </c:pt>
                <c:pt idx="1">
                  <c:v>-3.4477960561740517E-2</c:v>
                </c:pt>
                <c:pt idx="2">
                  <c:v>-0.10006959837569869</c:v>
                </c:pt>
                <c:pt idx="3">
                  <c:v>5.304329052858224E-2</c:v>
                </c:pt>
                <c:pt idx="4">
                  <c:v>-0.103558912386707</c:v>
                </c:pt>
                <c:pt idx="5">
                  <c:v>3.6251120065206165E-2</c:v>
                </c:pt>
                <c:pt idx="6">
                  <c:v>-0.10166665653747892</c:v>
                </c:pt>
                <c:pt idx="7">
                  <c:v>5.3838907206782749E-2</c:v>
                </c:pt>
                <c:pt idx="8">
                  <c:v>0.12268023729071623</c:v>
                </c:pt>
                <c:pt idx="9">
                  <c:v>-0.21918372955888413</c:v>
                </c:pt>
                <c:pt idx="10">
                  <c:v>4.012932330827073E-2</c:v>
                </c:pt>
                <c:pt idx="11">
                  <c:v>-8.5158993168023056E-2</c:v>
                </c:pt>
                <c:pt idx="12">
                  <c:v>-6.7926535469825439E-2</c:v>
                </c:pt>
                <c:pt idx="13">
                  <c:v>4.0289577264366633E-2</c:v>
                </c:pt>
                <c:pt idx="14">
                  <c:v>8.853197273416287E-2</c:v>
                </c:pt>
                <c:pt idx="15">
                  <c:v>0.14923972217007694</c:v>
                </c:pt>
                <c:pt idx="16">
                  <c:v>-1.5168770704628888E-2</c:v>
                </c:pt>
                <c:pt idx="17">
                  <c:v>-1.0313467485358434E-2</c:v>
                </c:pt>
              </c:numCache>
            </c:numRef>
          </c:val>
          <c:extLst xmlns:c16r2="http://schemas.microsoft.com/office/drawing/2015/06/chart">
            <c:ext xmlns:c16="http://schemas.microsoft.com/office/drawing/2014/chart" uri="{C3380CC4-5D6E-409C-BE32-E72D297353CC}">
              <c16:uniqueId val="{00000008-4BAE-48E1-BE7F-BDC5CB461E2F}"/>
            </c:ext>
          </c:extLst>
        </c:ser>
        <c:ser>
          <c:idx val="3"/>
          <c:order val="3"/>
          <c:tx>
            <c:strRef>
              <c:f>OUTPUT│Totex!$H$32</c:f>
              <c:strCache>
                <c:ptCount val="1"/>
                <c:pt idx="0">
                  <c:v>2018-19</c:v>
                </c:pt>
              </c:strCache>
            </c:strRef>
          </c:tx>
          <c:spPr>
            <a:solidFill>
              <a:schemeClr val="accent1">
                <a:shade val="76000"/>
              </a:schemeClr>
            </a:solidFill>
            <a:ln>
              <a:noFill/>
            </a:ln>
            <a:effectLst/>
          </c:spPr>
          <c:invertIfNegative val="0"/>
          <c:dPt>
            <c:idx val="17"/>
            <c:invertIfNegative val="0"/>
            <c:bubble3D val="0"/>
            <c:spPr>
              <a:solidFill>
                <a:srgbClr val="B30073"/>
              </a:solidFill>
              <a:ln>
                <a:noFill/>
              </a:ln>
              <a:effectLst/>
            </c:spPr>
            <c:extLst xmlns:c16r2="http://schemas.microsoft.com/office/drawing/2015/06/chart">
              <c:ext xmlns:c16="http://schemas.microsoft.com/office/drawing/2014/chart" uri="{C3380CC4-5D6E-409C-BE32-E72D297353CC}">
                <c16:uniqueId val="{0000000A-4BAE-48E1-BE7F-BDC5CB461E2F}"/>
              </c:ext>
            </c:extLst>
          </c:dPt>
          <c:cat>
            <c:strRef>
              <c:f>OUTPUT│Totex!$D$33:$D$50</c:f>
              <c:strCache>
                <c:ptCount val="18"/>
                <c:pt idx="0">
                  <c:v>SWB</c:v>
                </c:pt>
                <c:pt idx="1">
                  <c:v>ANH</c:v>
                </c:pt>
                <c:pt idx="2">
                  <c:v>WSX</c:v>
                </c:pt>
                <c:pt idx="3">
                  <c:v>SSC</c:v>
                </c:pt>
                <c:pt idx="4">
                  <c:v>SEW</c:v>
                </c:pt>
                <c:pt idx="5">
                  <c:v>UU</c:v>
                </c:pt>
                <c:pt idx="6">
                  <c:v>NES</c:v>
                </c:pt>
                <c:pt idx="7">
                  <c:v>AFW</c:v>
                </c:pt>
                <c:pt idx="8">
                  <c:v>WSH</c:v>
                </c:pt>
                <c:pt idx="9">
                  <c:v>PRT</c:v>
                </c:pt>
                <c:pt idx="10">
                  <c:v>YKY</c:v>
                </c:pt>
                <c:pt idx="11">
                  <c:v>SVE</c:v>
                </c:pt>
                <c:pt idx="12">
                  <c:v>SES</c:v>
                </c:pt>
                <c:pt idx="13">
                  <c:v>TMS</c:v>
                </c:pt>
                <c:pt idx="14">
                  <c:v>BRL</c:v>
                </c:pt>
                <c:pt idx="15">
                  <c:v>HDD</c:v>
                </c:pt>
                <c:pt idx="16">
                  <c:v>SRN</c:v>
                </c:pt>
                <c:pt idx="17">
                  <c:v>Industry</c:v>
                </c:pt>
              </c:strCache>
            </c:strRef>
          </c:cat>
          <c:val>
            <c:numRef>
              <c:f>OUTPUT│Totex!$H$33:$H$50</c:f>
              <c:numCache>
                <c:formatCode>0.00%;\-0.00%;\-</c:formatCode>
                <c:ptCount val="18"/>
                <c:pt idx="0">
                  <c:v>-0.13426051625391688</c:v>
                </c:pt>
                <c:pt idx="1">
                  <c:v>-4.0590903655263633E-2</c:v>
                </c:pt>
                <c:pt idx="2">
                  <c:v>-6.4392220499361053E-2</c:v>
                </c:pt>
                <c:pt idx="3">
                  <c:v>3.7050816580496887E-2</c:v>
                </c:pt>
                <c:pt idx="4">
                  <c:v>-2.8968553459119462E-2</c:v>
                </c:pt>
                <c:pt idx="5">
                  <c:v>4.2303032958604216E-3</c:v>
                </c:pt>
                <c:pt idx="6">
                  <c:v>3.0680608188990773E-2</c:v>
                </c:pt>
                <c:pt idx="7">
                  <c:v>9.5982010045650393E-2</c:v>
                </c:pt>
                <c:pt idx="8">
                  <c:v>0.20561665396699691</c:v>
                </c:pt>
                <c:pt idx="9">
                  <c:v>0.1378743608473339</c:v>
                </c:pt>
                <c:pt idx="10">
                  <c:v>0.2318758921192999</c:v>
                </c:pt>
                <c:pt idx="11">
                  <c:v>3.5010654104223216E-2</c:v>
                </c:pt>
                <c:pt idx="12">
                  <c:v>3.9402155066252956E-2</c:v>
                </c:pt>
                <c:pt idx="13">
                  <c:v>0.1341176059658746</c:v>
                </c:pt>
                <c:pt idx="14">
                  <c:v>0.11814843009725529</c:v>
                </c:pt>
                <c:pt idx="15">
                  <c:v>0.20324427480916027</c:v>
                </c:pt>
                <c:pt idx="16">
                  <c:v>9.0945054351287136E-2</c:v>
                </c:pt>
                <c:pt idx="17">
                  <c:v>6.2194570683445402E-2</c:v>
                </c:pt>
              </c:numCache>
            </c:numRef>
          </c:val>
          <c:extLst xmlns:c16r2="http://schemas.microsoft.com/office/drawing/2015/06/chart">
            <c:ext xmlns:c16="http://schemas.microsoft.com/office/drawing/2014/chart" uri="{C3380CC4-5D6E-409C-BE32-E72D297353CC}">
              <c16:uniqueId val="{0000000B-4BAE-48E1-BE7F-BDC5CB461E2F}"/>
            </c:ext>
          </c:extLst>
        </c:ser>
        <c:ser>
          <c:idx val="4"/>
          <c:order val="4"/>
          <c:tx>
            <c:strRef>
              <c:f>OUTPUT│Totex!$I$32</c:f>
              <c:strCache>
                <c:ptCount val="1"/>
                <c:pt idx="0">
                  <c:v>2019-20</c:v>
                </c:pt>
              </c:strCache>
            </c:strRef>
          </c:tx>
          <c:spPr>
            <a:solidFill>
              <a:schemeClr val="accent1">
                <a:shade val="53000"/>
              </a:schemeClr>
            </a:solidFill>
            <a:ln>
              <a:noFill/>
            </a:ln>
            <a:effectLst/>
          </c:spPr>
          <c:invertIfNegative val="0"/>
          <c:dPt>
            <c:idx val="17"/>
            <c:invertIfNegative val="0"/>
            <c:bubble3D val="0"/>
            <c:spPr>
              <a:solidFill>
                <a:srgbClr val="980061"/>
              </a:solidFill>
              <a:ln>
                <a:noFill/>
              </a:ln>
              <a:effectLst/>
            </c:spPr>
          </c:dPt>
          <c:cat>
            <c:strRef>
              <c:f>OUTPUT│Totex!$D$33:$D$50</c:f>
              <c:strCache>
                <c:ptCount val="18"/>
                <c:pt idx="0">
                  <c:v>SWB</c:v>
                </c:pt>
                <c:pt idx="1">
                  <c:v>ANH</c:v>
                </c:pt>
                <c:pt idx="2">
                  <c:v>WSX</c:v>
                </c:pt>
                <c:pt idx="3">
                  <c:v>SSC</c:v>
                </c:pt>
                <c:pt idx="4">
                  <c:v>SEW</c:v>
                </c:pt>
                <c:pt idx="5">
                  <c:v>UU</c:v>
                </c:pt>
                <c:pt idx="6">
                  <c:v>NES</c:v>
                </c:pt>
                <c:pt idx="7">
                  <c:v>AFW</c:v>
                </c:pt>
                <c:pt idx="8">
                  <c:v>WSH</c:v>
                </c:pt>
                <c:pt idx="9">
                  <c:v>PRT</c:v>
                </c:pt>
                <c:pt idx="10">
                  <c:v>YKY</c:v>
                </c:pt>
                <c:pt idx="11">
                  <c:v>SVE</c:v>
                </c:pt>
                <c:pt idx="12">
                  <c:v>SES</c:v>
                </c:pt>
                <c:pt idx="13">
                  <c:v>TMS</c:v>
                </c:pt>
                <c:pt idx="14">
                  <c:v>BRL</c:v>
                </c:pt>
                <c:pt idx="15">
                  <c:v>HDD</c:v>
                </c:pt>
                <c:pt idx="16">
                  <c:v>SRN</c:v>
                </c:pt>
                <c:pt idx="17">
                  <c:v>Industry</c:v>
                </c:pt>
              </c:strCache>
            </c:strRef>
          </c:cat>
          <c:val>
            <c:numRef>
              <c:f>OUTPUT│Totex!$I$33:$I$50</c:f>
              <c:numCache>
                <c:formatCode>0.00%;\-0.00%;\-</c:formatCode>
                <c:ptCount val="18"/>
                <c:pt idx="0">
                  <c:v>-0.12822620309028912</c:v>
                </c:pt>
                <c:pt idx="1">
                  <c:v>-1.8989123286668193E-2</c:v>
                </c:pt>
                <c:pt idx="2">
                  <c:v>-1.150937494714664E-2</c:v>
                </c:pt>
                <c:pt idx="3">
                  <c:v>2.3629010234469394E-2</c:v>
                </c:pt>
                <c:pt idx="4">
                  <c:v>3.2243935309973021E-2</c:v>
                </c:pt>
                <c:pt idx="5">
                  <c:v>3.8753601845444394E-2</c:v>
                </c:pt>
                <c:pt idx="6">
                  <c:v>6.0101223923035942E-2</c:v>
                </c:pt>
                <c:pt idx="7">
                  <c:v>0.14739045492430089</c:v>
                </c:pt>
                <c:pt idx="8">
                  <c:v>0.15209176540971511</c:v>
                </c:pt>
                <c:pt idx="9">
                  <c:v>0.158225664225741</c:v>
                </c:pt>
                <c:pt idx="10">
                  <c:v>0.16008978221264342</c:v>
                </c:pt>
                <c:pt idx="11">
                  <c:v>0.17320166339682172</c:v>
                </c:pt>
                <c:pt idx="12">
                  <c:v>0.19327060784932598</c:v>
                </c:pt>
                <c:pt idx="13">
                  <c:v>0.20771979442618665</c:v>
                </c:pt>
                <c:pt idx="14">
                  <c:v>0.22401735825231398</c:v>
                </c:pt>
                <c:pt idx="15">
                  <c:v>0.23617364709880206</c:v>
                </c:pt>
                <c:pt idx="16">
                  <c:v>0.33306935934598103</c:v>
                </c:pt>
                <c:pt idx="17">
                  <c:v>0.11648022239930531</c:v>
                </c:pt>
              </c:numCache>
            </c:numRef>
          </c:val>
        </c:ser>
        <c:dLbls>
          <c:showLegendKey val="0"/>
          <c:showVal val="0"/>
          <c:showCatName val="0"/>
          <c:showSerName val="0"/>
          <c:showPercent val="0"/>
          <c:showBubbleSize val="0"/>
        </c:dLbls>
        <c:gapWidth val="150"/>
        <c:overlap val="-25"/>
        <c:axId val="418400912"/>
        <c:axId val="418402088"/>
      </c:barChart>
      <c:catAx>
        <c:axId val="4184009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402088"/>
        <c:crosses val="autoZero"/>
        <c:auto val="1"/>
        <c:lblAlgn val="ctr"/>
        <c:lblOffset val="100"/>
        <c:noMultiLvlLbl val="0"/>
      </c:catAx>
      <c:valAx>
        <c:axId val="418402088"/>
        <c:scaling>
          <c:orientation val="minMax"/>
          <c:max val="0.35000000000000003"/>
          <c:min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400912"/>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3154-4933-B3AF-92C6D83554A9}"/>
              </c:ext>
            </c:extLst>
          </c:dPt>
          <c:cat>
            <c:strRef>
              <c:f>'OUTPUT│Outcomes Trends'!$D$54:$D$71</c:f>
              <c:strCache>
                <c:ptCount val="18"/>
                <c:pt idx="0">
                  <c:v>SVE</c:v>
                </c:pt>
                <c:pt idx="1">
                  <c:v>YKY</c:v>
                </c:pt>
                <c:pt idx="2">
                  <c:v>WSX</c:v>
                </c:pt>
                <c:pt idx="3">
                  <c:v>SSC</c:v>
                </c:pt>
                <c:pt idx="4">
                  <c:v>ANH</c:v>
                </c:pt>
                <c:pt idx="5">
                  <c:v>UU</c:v>
                </c:pt>
                <c:pt idx="6">
                  <c:v>SES</c:v>
                </c:pt>
                <c:pt idx="7">
                  <c:v>SWB</c:v>
                </c:pt>
                <c:pt idx="8">
                  <c:v>NES</c:v>
                </c:pt>
                <c:pt idx="9">
                  <c:v>WSH</c:v>
                </c:pt>
                <c:pt idx="10">
                  <c:v>SEW</c:v>
                </c:pt>
                <c:pt idx="11">
                  <c:v>SRN</c:v>
                </c:pt>
                <c:pt idx="12">
                  <c:v>BRL</c:v>
                </c:pt>
                <c:pt idx="13">
                  <c:v>HDD</c:v>
                </c:pt>
                <c:pt idx="14">
                  <c:v>AFW</c:v>
                </c:pt>
                <c:pt idx="15">
                  <c:v>PRT</c:v>
                </c:pt>
                <c:pt idx="16">
                  <c:v>TMS</c:v>
                </c:pt>
                <c:pt idx="17">
                  <c:v>Industry</c:v>
                </c:pt>
              </c:strCache>
            </c:strRef>
          </c:cat>
          <c:val>
            <c:numRef>
              <c:f>'OUTPUT│Outcomes Trends'!$E$54:$E$71</c:f>
              <c:numCache>
                <c:formatCode>0.00%</c:formatCode>
                <c:ptCount val="18"/>
                <c:pt idx="0">
                  <c:v>9.9063498340866956E-3</c:v>
                </c:pt>
                <c:pt idx="1">
                  <c:v>6.0320274696741335E-3</c:v>
                </c:pt>
                <c:pt idx="2">
                  <c:v>5.0157913389172947E-3</c:v>
                </c:pt>
                <c:pt idx="3">
                  <c:v>3.8368363182527351E-3</c:v>
                </c:pt>
                <c:pt idx="4">
                  <c:v>2.6808110874685849E-3</c:v>
                </c:pt>
                <c:pt idx="5">
                  <c:v>2.0937104212888397E-3</c:v>
                </c:pt>
                <c:pt idx="6">
                  <c:v>1.9079032905353877E-3</c:v>
                </c:pt>
                <c:pt idx="7">
                  <c:v>1.5070456905371709E-3</c:v>
                </c:pt>
                <c:pt idx="8">
                  <c:v>1.4354494815112305E-3</c:v>
                </c:pt>
                <c:pt idx="9">
                  <c:v>-3.5092824715068905E-4</c:v>
                </c:pt>
                <c:pt idx="10">
                  <c:v>-3.855923431067246E-4</c:v>
                </c:pt>
                <c:pt idx="11">
                  <c:v>-6.1839050924436837E-4</c:v>
                </c:pt>
                <c:pt idx="12">
                  <c:v>-6.2525684976133351E-3</c:v>
                </c:pt>
                <c:pt idx="13">
                  <c:v>-6.5412805626205118E-3</c:v>
                </c:pt>
                <c:pt idx="14">
                  <c:v>-6.8859095511013997E-3</c:v>
                </c:pt>
                <c:pt idx="15">
                  <c:v>-8.088745087882326E-3</c:v>
                </c:pt>
                <c:pt idx="16">
                  <c:v>-1.0933627526232578E-2</c:v>
                </c:pt>
                <c:pt idx="17">
                  <c:v>4.2239362742027521E-4</c:v>
                </c:pt>
              </c:numCache>
            </c:numRef>
          </c:val>
          <c:extLst xmlns:c16r2="http://schemas.microsoft.com/office/drawing/2015/06/chart">
            <c:ext xmlns:c16="http://schemas.microsoft.com/office/drawing/2014/chart" uri="{C3380CC4-5D6E-409C-BE32-E72D297353CC}">
              <c16:uniqueId val="{00000002-3154-4933-B3AF-92C6D83554A9}"/>
            </c:ext>
          </c:extLst>
        </c:ser>
        <c:dLbls>
          <c:showLegendKey val="0"/>
          <c:showVal val="0"/>
          <c:showCatName val="0"/>
          <c:showSerName val="0"/>
          <c:showPercent val="0"/>
          <c:showBubbleSize val="0"/>
        </c:dLbls>
        <c:gapWidth val="100"/>
        <c:overlap val="-27"/>
        <c:axId val="424761112"/>
        <c:axId val="424757976"/>
      </c:barChart>
      <c:catAx>
        <c:axId val="424761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7976"/>
        <c:crosses val="autoZero"/>
        <c:auto val="1"/>
        <c:lblAlgn val="ctr"/>
        <c:lblOffset val="100"/>
        <c:noMultiLvlLbl val="0"/>
      </c:catAx>
      <c:valAx>
        <c:axId val="4247579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61112"/>
        <c:crosses val="autoZero"/>
        <c:crossBetween val="between"/>
        <c:majorUnit val="2.0000000000000005E-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CALCS│Outcomes!$C$125</c:f>
              <c:strCache>
                <c:ptCount val="1"/>
                <c:pt idx="0">
                  <c:v>ANH</c:v>
                </c:pt>
              </c:strCache>
            </c:strRef>
          </c:tx>
          <c:spPr>
            <a:solidFill>
              <a:schemeClr val="tx2"/>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CALCS│Outcomes!$E$125:$L$125</c:f>
              <c:numCache>
                <c:formatCode>#,##0;\-#,##0;\-</c:formatCode>
                <c:ptCount val="8"/>
                <c:pt idx="0">
                  <c:v>591.2993100000001</c:v>
                </c:pt>
                <c:pt idx="1">
                  <c:v>603.65108148347997</c:v>
                </c:pt>
                <c:pt idx="2">
                  <c:v>598.72521678999999</c:v>
                </c:pt>
                <c:pt idx="3">
                  <c:v>607.30984015999991</c:v>
                </c:pt>
                <c:pt idx="4">
                  <c:v>612.71143177431759</c:v>
                </c:pt>
                <c:pt idx="5">
                  <c:v>620.49481379575309</c:v>
                </c:pt>
                <c:pt idx="6">
                  <c:v>631.26723945493609</c:v>
                </c:pt>
                <c:pt idx="7">
                  <c:v>633.56229555903997</c:v>
                </c:pt>
              </c:numCache>
            </c:numRef>
          </c:val>
          <c:extLst xmlns:c16r2="http://schemas.microsoft.com/office/drawing/2015/06/chart">
            <c:ext xmlns:c16="http://schemas.microsoft.com/office/drawing/2014/chart" uri="{C3380CC4-5D6E-409C-BE32-E72D297353CC}">
              <c16:uniqueId val="{00000000-0F0C-4D32-A3FF-163409A13C5E}"/>
            </c:ext>
          </c:extLst>
        </c:ser>
        <c:ser>
          <c:idx val="1"/>
          <c:order val="1"/>
          <c:tx>
            <c:strRef>
              <c:f>CALCS│Outcomes!$C$126</c:f>
              <c:strCache>
                <c:ptCount val="1"/>
                <c:pt idx="0">
                  <c:v>WSH</c:v>
                </c:pt>
              </c:strCache>
            </c:strRef>
          </c:tx>
          <c:spPr>
            <a:solidFill>
              <a:schemeClr val="accent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CALCS│Outcomes!$E$126:$L$126</c:f>
              <c:numCache>
                <c:formatCode>#,##0;\-#,##0;\-</c:formatCode>
                <c:ptCount val="8"/>
                <c:pt idx="0">
                  <c:v>418.91166239999995</c:v>
                </c:pt>
                <c:pt idx="1">
                  <c:v>419.46720050000005</c:v>
                </c:pt>
                <c:pt idx="2">
                  <c:v>419.55294299999997</c:v>
                </c:pt>
                <c:pt idx="3">
                  <c:v>416.71185289999994</c:v>
                </c:pt>
                <c:pt idx="4">
                  <c:v>425.95174711999999</c:v>
                </c:pt>
                <c:pt idx="5">
                  <c:v>443.607041649</c:v>
                </c:pt>
                <c:pt idx="6">
                  <c:v>462.88784420999997</c:v>
                </c:pt>
                <c:pt idx="7">
                  <c:v>476.82671105999998</c:v>
                </c:pt>
              </c:numCache>
            </c:numRef>
          </c:val>
        </c:ser>
        <c:ser>
          <c:idx val="2"/>
          <c:order val="2"/>
          <c:tx>
            <c:strRef>
              <c:f>CALCS│Outcomes!$C$127</c:f>
              <c:strCache>
                <c:ptCount val="1"/>
                <c:pt idx="0">
                  <c:v>HDD</c:v>
                </c:pt>
              </c:strCache>
            </c:strRef>
          </c:tx>
          <c:spPr>
            <a:solidFill>
              <a:schemeClr val="tx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CALCS│Outcomes!$E$127:$L$127</c:f>
              <c:numCache>
                <c:formatCode>#,##0;\-#,##0;\-</c:formatCode>
                <c:ptCount val="8"/>
                <c:pt idx="0">
                  <c:v>33.924339843353437</c:v>
                </c:pt>
                <c:pt idx="1">
                  <c:v>34.634452172292676</c:v>
                </c:pt>
                <c:pt idx="2">
                  <c:v>33.833539690975151</c:v>
                </c:pt>
                <c:pt idx="3">
                  <c:v>35.248624500383244</c:v>
                </c:pt>
                <c:pt idx="4">
                  <c:v>35.393896394350001</c:v>
                </c:pt>
                <c:pt idx="5">
                  <c:v>35.64666257479999</c:v>
                </c:pt>
                <c:pt idx="6">
                  <c:v>30.636136640577963</c:v>
                </c:pt>
                <c:pt idx="7">
                  <c:v>29.600453070599844</c:v>
                </c:pt>
              </c:numCache>
            </c:numRef>
          </c:val>
        </c:ser>
        <c:ser>
          <c:idx val="3"/>
          <c:order val="3"/>
          <c:tx>
            <c:strRef>
              <c:f>CALCS│Outcomes!$C$128</c:f>
              <c:strCache>
                <c:ptCount val="1"/>
                <c:pt idx="0">
                  <c:v>NES</c:v>
                </c:pt>
              </c:strCache>
            </c:strRef>
          </c:tx>
          <c:spPr>
            <a:solidFill>
              <a:schemeClr val="accent1">
                <a:lumMod val="40000"/>
                <a:lumOff val="60000"/>
              </a:schemeClr>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CALCS│Outcomes!$E$128:$L$128</c:f>
              <c:numCache>
                <c:formatCode>#,##0;\-#,##0;\-</c:formatCode>
                <c:ptCount val="8"/>
                <c:pt idx="0">
                  <c:v>621.4428622123238</c:v>
                </c:pt>
                <c:pt idx="1">
                  <c:v>631.09085038148635</c:v>
                </c:pt>
                <c:pt idx="2">
                  <c:v>631.9987236882647</c:v>
                </c:pt>
                <c:pt idx="3">
                  <c:v>640.54778594619711</c:v>
                </c:pt>
                <c:pt idx="4">
                  <c:v>635.62545377889489</c:v>
                </c:pt>
                <c:pt idx="5">
                  <c:v>660.54024147638802</c:v>
                </c:pt>
                <c:pt idx="6">
                  <c:v>683.28126229282611</c:v>
                </c:pt>
                <c:pt idx="7">
                  <c:v>673.60770503864296</c:v>
                </c:pt>
              </c:numCache>
            </c:numRef>
          </c:val>
        </c:ser>
        <c:ser>
          <c:idx val="4"/>
          <c:order val="4"/>
          <c:tx>
            <c:strRef>
              <c:f>CALCS│Outcomes!$C$129</c:f>
              <c:strCache>
                <c:ptCount val="1"/>
                <c:pt idx="0">
                  <c:v>SVE</c:v>
                </c:pt>
              </c:strCache>
            </c:strRef>
          </c:tx>
          <c:spPr>
            <a:solidFill>
              <a:schemeClr val="accent1">
                <a:lumMod val="20000"/>
                <a:lumOff val="80000"/>
              </a:schemeClr>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CALCS│Outcomes!$E$129:$L$129</c:f>
              <c:numCache>
                <c:formatCode>#,##0;\-#,##0;\-</c:formatCode>
                <c:ptCount val="8"/>
                <c:pt idx="0">
                  <c:v>943.57288459999995</c:v>
                </c:pt>
                <c:pt idx="1">
                  <c:v>975.12142634955319</c:v>
                </c:pt>
                <c:pt idx="2">
                  <c:v>953.74896396435861</c:v>
                </c:pt>
                <c:pt idx="3">
                  <c:v>988.90774725432539</c:v>
                </c:pt>
                <c:pt idx="4">
                  <c:v>1003.7341906869281</c:v>
                </c:pt>
                <c:pt idx="5">
                  <c:v>1024.144477623583</c:v>
                </c:pt>
                <c:pt idx="6">
                  <c:v>1081.5915250554256</c:v>
                </c:pt>
                <c:pt idx="7">
                  <c:v>1066.5030330479119</c:v>
                </c:pt>
              </c:numCache>
            </c:numRef>
          </c:val>
        </c:ser>
        <c:ser>
          <c:idx val="5"/>
          <c:order val="5"/>
          <c:tx>
            <c:strRef>
              <c:f>CALCS│Outcomes!$C$130</c:f>
              <c:strCache>
                <c:ptCount val="1"/>
                <c:pt idx="0">
                  <c:v>SWB</c:v>
                </c:pt>
              </c:strCache>
            </c:strRef>
          </c:tx>
          <c:spPr>
            <a:solidFill>
              <a:schemeClr val="accent5"/>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CALCS│Outcomes!$E$130:$L$130</c:f>
              <c:numCache>
                <c:formatCode>#,##0;\-#,##0;\-</c:formatCode>
                <c:ptCount val="8"/>
                <c:pt idx="0">
                  <c:v>274.6809232</c:v>
                </c:pt>
                <c:pt idx="1">
                  <c:v>278.66971153000003</c:v>
                </c:pt>
                <c:pt idx="2">
                  <c:v>275.25343409999999</c:v>
                </c:pt>
                <c:pt idx="3">
                  <c:v>283.50005490000001</c:v>
                </c:pt>
                <c:pt idx="4">
                  <c:v>288.17088604999998</c:v>
                </c:pt>
                <c:pt idx="5">
                  <c:v>300.00704710000002</c:v>
                </c:pt>
                <c:pt idx="6">
                  <c:v>332.07803796692917</c:v>
                </c:pt>
                <c:pt idx="7">
                  <c:v>331.25426470126223</c:v>
                </c:pt>
              </c:numCache>
            </c:numRef>
          </c:val>
        </c:ser>
        <c:ser>
          <c:idx val="6"/>
          <c:order val="6"/>
          <c:tx>
            <c:strRef>
              <c:f>CALCS│Outcomes!$C$131</c:f>
              <c:strCache>
                <c:ptCount val="1"/>
                <c:pt idx="0">
                  <c:v>SRN</c:v>
                </c:pt>
              </c:strCache>
            </c:strRef>
          </c:tx>
          <c:spPr>
            <a:solidFill>
              <a:schemeClr val="accent5">
                <a:lumMod val="40000"/>
                <a:lumOff val="60000"/>
              </a:schemeClr>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CALCS│Outcomes!$E$131:$L$131</c:f>
              <c:numCache>
                <c:formatCode>#,##0;\-#,##0;\-</c:formatCode>
                <c:ptCount val="8"/>
                <c:pt idx="0">
                  <c:v>334.13762640617489</c:v>
                </c:pt>
                <c:pt idx="1">
                  <c:v>336.22867379999997</c:v>
                </c:pt>
                <c:pt idx="2">
                  <c:v>324.52670361843218</c:v>
                </c:pt>
                <c:pt idx="3">
                  <c:v>314.49772798720738</c:v>
                </c:pt>
                <c:pt idx="4">
                  <c:v>320.69739627779285</c:v>
                </c:pt>
                <c:pt idx="5">
                  <c:v>319.12848946505693</c:v>
                </c:pt>
                <c:pt idx="6">
                  <c:v>324.05390140025071</c:v>
                </c:pt>
                <c:pt idx="7">
                  <c:v>318.90727512361116</c:v>
                </c:pt>
              </c:numCache>
            </c:numRef>
          </c:val>
        </c:ser>
        <c:ser>
          <c:idx val="7"/>
          <c:order val="7"/>
          <c:tx>
            <c:strRef>
              <c:f>CALCS│Outcomes!$C$132</c:f>
              <c:strCache>
                <c:ptCount val="1"/>
                <c:pt idx="0">
                  <c:v>TMS</c:v>
                </c:pt>
              </c:strCache>
            </c:strRef>
          </c:tx>
          <c:spPr>
            <a:solidFill>
              <a:schemeClr val="accent4"/>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CALCS│Outcomes!$E$132:$L$132</c:f>
              <c:numCache>
                <c:formatCode>#,##0;\-#,##0;\-</c:formatCode>
                <c:ptCount val="8"/>
                <c:pt idx="0">
                  <c:v>1348.5969177000002</c:v>
                </c:pt>
                <c:pt idx="1">
                  <c:v>1376.565081</c:v>
                </c:pt>
                <c:pt idx="2">
                  <c:v>1371.2758079999999</c:v>
                </c:pt>
                <c:pt idx="3">
                  <c:v>1401.4120400659112</c:v>
                </c:pt>
                <c:pt idx="4">
                  <c:v>1431.4738080770001</c:v>
                </c:pt>
                <c:pt idx="5">
                  <c:v>1434.7317503463021</c:v>
                </c:pt>
                <c:pt idx="6">
                  <c:v>1438.8513413856838</c:v>
                </c:pt>
                <c:pt idx="7">
                  <c:v>1448.3875016790134</c:v>
                </c:pt>
              </c:numCache>
            </c:numRef>
          </c:val>
        </c:ser>
        <c:ser>
          <c:idx val="8"/>
          <c:order val="8"/>
          <c:tx>
            <c:strRef>
              <c:f>CALCS│Outcomes!$C$133</c:f>
              <c:strCache>
                <c:ptCount val="1"/>
                <c:pt idx="0">
                  <c:v>UU</c:v>
                </c:pt>
              </c:strCache>
            </c:strRef>
          </c:tx>
          <c:spPr>
            <a:solidFill>
              <a:srgbClr val="95B040"/>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CALCS│Outcomes!$E$133:$L$133</c:f>
              <c:numCache>
                <c:formatCode>#,##0;\-#,##0;\-</c:formatCode>
                <c:ptCount val="8"/>
                <c:pt idx="0">
                  <c:v>859.12270773958335</c:v>
                </c:pt>
                <c:pt idx="1">
                  <c:v>868.65030548808443</c:v>
                </c:pt>
                <c:pt idx="2">
                  <c:v>873.1205357328879</c:v>
                </c:pt>
                <c:pt idx="3">
                  <c:v>872.93029035526774</c:v>
                </c:pt>
                <c:pt idx="4">
                  <c:v>883.89472318801029</c:v>
                </c:pt>
                <c:pt idx="5">
                  <c:v>900.59415594186623</c:v>
                </c:pt>
                <c:pt idx="6">
                  <c:v>917.31391217456462</c:v>
                </c:pt>
                <c:pt idx="7">
                  <c:v>909.92890565751884</c:v>
                </c:pt>
              </c:numCache>
            </c:numRef>
          </c:val>
        </c:ser>
        <c:ser>
          <c:idx val="9"/>
          <c:order val="9"/>
          <c:tx>
            <c:strRef>
              <c:f>CALCS│Outcomes!$C$134</c:f>
              <c:strCache>
                <c:ptCount val="1"/>
                <c:pt idx="0">
                  <c:v>WSX</c:v>
                </c:pt>
              </c:strCache>
            </c:strRef>
          </c:tx>
          <c:spPr>
            <a:solidFill>
              <a:schemeClr val="accent3"/>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CALCS│Outcomes!$E$134:$L$134</c:f>
              <c:numCache>
                <c:formatCode>#,##0;\-#,##0;\-</c:formatCode>
                <c:ptCount val="8"/>
                <c:pt idx="0">
                  <c:v>171.93149099999999</c:v>
                </c:pt>
                <c:pt idx="1">
                  <c:v>175.54877999999999</c:v>
                </c:pt>
                <c:pt idx="2">
                  <c:v>177.01002799999998</c:v>
                </c:pt>
                <c:pt idx="3">
                  <c:v>179.455029225</c:v>
                </c:pt>
                <c:pt idx="4">
                  <c:v>184.61596623999998</c:v>
                </c:pt>
                <c:pt idx="5">
                  <c:v>188.7925524780014</c:v>
                </c:pt>
                <c:pt idx="6">
                  <c:v>195.62314353885603</c:v>
                </c:pt>
                <c:pt idx="7">
                  <c:v>194.67178434586739</c:v>
                </c:pt>
              </c:numCache>
            </c:numRef>
          </c:val>
        </c:ser>
        <c:ser>
          <c:idx val="10"/>
          <c:order val="10"/>
          <c:tx>
            <c:strRef>
              <c:f>CALCS│Outcomes!$C$135</c:f>
              <c:strCache>
                <c:ptCount val="1"/>
                <c:pt idx="0">
                  <c:v>YKY</c:v>
                </c:pt>
              </c:strCache>
            </c:strRef>
          </c:tx>
          <c:spPr>
            <a:solidFill>
              <a:schemeClr val="accent3">
                <a:lumMod val="40000"/>
                <a:lumOff val="60000"/>
              </a:schemeClr>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CALCS│Outcomes!$E$135:$L$135</c:f>
              <c:numCache>
                <c:formatCode>#,##0;\-#,##0;\-</c:formatCode>
                <c:ptCount val="8"/>
                <c:pt idx="0">
                  <c:v>645.87148409999998</c:v>
                </c:pt>
                <c:pt idx="1">
                  <c:v>660.70999860000006</c:v>
                </c:pt>
                <c:pt idx="2">
                  <c:v>649.69107140000006</c:v>
                </c:pt>
                <c:pt idx="3">
                  <c:v>649.97901442999989</c:v>
                </c:pt>
                <c:pt idx="4">
                  <c:v>662.02831268</c:v>
                </c:pt>
                <c:pt idx="5">
                  <c:v>658.23747493000008</c:v>
                </c:pt>
                <c:pt idx="6">
                  <c:v>662.51060669000003</c:v>
                </c:pt>
                <c:pt idx="7">
                  <c:v>671.2897587299999</c:v>
                </c:pt>
              </c:numCache>
            </c:numRef>
          </c:val>
        </c:ser>
        <c:ser>
          <c:idx val="11"/>
          <c:order val="11"/>
          <c:tx>
            <c:strRef>
              <c:f>CALCS│Outcomes!$C$136</c:f>
              <c:strCache>
                <c:ptCount val="1"/>
                <c:pt idx="0">
                  <c:v>AFW</c:v>
                </c:pt>
              </c:strCache>
            </c:strRef>
          </c:tx>
          <c:spPr>
            <a:solidFill>
              <a:schemeClr val="accent3">
                <a:lumMod val="20000"/>
                <a:lumOff val="80000"/>
              </a:schemeClr>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CALCS│Outcomes!$E$136:$L$136</c:f>
              <c:numCache>
                <c:formatCode>#,##0;\-#,##0;\-</c:formatCode>
                <c:ptCount val="8"/>
                <c:pt idx="0">
                  <c:v>508.73743772000006</c:v>
                </c:pt>
                <c:pt idx="1">
                  <c:v>543.0353145900001</c:v>
                </c:pt>
                <c:pt idx="2">
                  <c:v>534.65606766999997</c:v>
                </c:pt>
                <c:pt idx="3">
                  <c:v>540.75496488144358</c:v>
                </c:pt>
                <c:pt idx="4">
                  <c:v>551.06060132031587</c:v>
                </c:pt>
                <c:pt idx="5">
                  <c:v>561.05774580722891</c:v>
                </c:pt>
                <c:pt idx="6">
                  <c:v>564.87294999999995</c:v>
                </c:pt>
                <c:pt idx="7">
                  <c:v>577.51934644533674</c:v>
                </c:pt>
              </c:numCache>
            </c:numRef>
          </c:val>
        </c:ser>
        <c:ser>
          <c:idx val="12"/>
          <c:order val="12"/>
          <c:tx>
            <c:strRef>
              <c:f>CALCS│Outcomes!$C$137</c:f>
              <c:strCache>
                <c:ptCount val="1"/>
                <c:pt idx="0">
                  <c:v>BRL</c:v>
                </c:pt>
              </c:strCache>
            </c:strRef>
          </c:tx>
          <c:spPr>
            <a:solidFill>
              <a:schemeClr val="accent2"/>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CALCS│Outcomes!$E$137:$L$137</c:f>
              <c:numCache>
                <c:formatCode>#,##0;\-#,##0;\-</c:formatCode>
                <c:ptCount val="8"/>
                <c:pt idx="0">
                  <c:v>153.60842599999998</c:v>
                </c:pt>
                <c:pt idx="1">
                  <c:v>158.50805700000001</c:v>
                </c:pt>
                <c:pt idx="2">
                  <c:v>158.40901399999998</c:v>
                </c:pt>
                <c:pt idx="3">
                  <c:v>157.97401819999999</c:v>
                </c:pt>
                <c:pt idx="4">
                  <c:v>165.62253226999997</c:v>
                </c:pt>
                <c:pt idx="5">
                  <c:v>168.02679165999999</c:v>
                </c:pt>
                <c:pt idx="6">
                  <c:v>174.51860719000001</c:v>
                </c:pt>
                <c:pt idx="7">
                  <c:v>171.28252879999999</c:v>
                </c:pt>
              </c:numCache>
            </c:numRef>
          </c:val>
        </c:ser>
        <c:ser>
          <c:idx val="13"/>
          <c:order val="13"/>
          <c:tx>
            <c:strRef>
              <c:f>CALCS│Outcomes!$C$138</c:f>
              <c:strCache>
                <c:ptCount val="1"/>
                <c:pt idx="0">
                  <c:v>PRT</c:v>
                </c:pt>
              </c:strCache>
            </c:strRef>
          </c:tx>
          <c:spPr>
            <a:solidFill>
              <a:schemeClr val="accent2">
                <a:lumMod val="40000"/>
                <a:lumOff val="60000"/>
              </a:schemeClr>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CALCS│Outcomes!$E$138:$L$138</c:f>
              <c:numCache>
                <c:formatCode>#,##0;\-#,##0;\-</c:formatCode>
                <c:ptCount val="8"/>
                <c:pt idx="0">
                  <c:v>100.27364344000001</c:v>
                </c:pt>
                <c:pt idx="1">
                  <c:v>102.7727883</c:v>
                </c:pt>
                <c:pt idx="2">
                  <c:v>101.60117350000003</c:v>
                </c:pt>
                <c:pt idx="3">
                  <c:v>101.54358927</c:v>
                </c:pt>
                <c:pt idx="4">
                  <c:v>102.66579213000001</c:v>
                </c:pt>
                <c:pt idx="5">
                  <c:v>105.05079558</c:v>
                </c:pt>
                <c:pt idx="6">
                  <c:v>110.22426073649554</c:v>
                </c:pt>
                <c:pt idx="7">
                  <c:v>111.93593498999999</c:v>
                </c:pt>
              </c:numCache>
            </c:numRef>
          </c:val>
        </c:ser>
        <c:ser>
          <c:idx val="14"/>
          <c:order val="14"/>
          <c:tx>
            <c:strRef>
              <c:f>CALCS│Outcomes!$C$139</c:f>
              <c:strCache>
                <c:ptCount val="1"/>
                <c:pt idx="0">
                  <c:v>SEW</c:v>
                </c:pt>
              </c:strCache>
            </c:strRef>
          </c:tx>
          <c:spPr>
            <a:solidFill>
              <a:schemeClr val="accent6"/>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CALCS│Outcomes!$E$139:$L$139</c:f>
              <c:numCache>
                <c:formatCode>#,##0;\-#,##0;\-</c:formatCode>
                <c:ptCount val="8"/>
                <c:pt idx="0">
                  <c:v>320.04075945361166</c:v>
                </c:pt>
                <c:pt idx="1">
                  <c:v>320.92593653489331</c:v>
                </c:pt>
                <c:pt idx="2">
                  <c:v>327.56208512671844</c:v>
                </c:pt>
                <c:pt idx="3">
                  <c:v>337.54732513679085</c:v>
                </c:pt>
                <c:pt idx="4">
                  <c:v>324.78093486042599</c:v>
                </c:pt>
                <c:pt idx="5">
                  <c:v>325.4794590256426</c:v>
                </c:pt>
                <c:pt idx="6">
                  <c:v>332.81456686523313</c:v>
                </c:pt>
                <c:pt idx="7">
                  <c:v>331.15205009294982</c:v>
                </c:pt>
              </c:numCache>
            </c:numRef>
          </c:val>
        </c:ser>
        <c:ser>
          <c:idx val="15"/>
          <c:order val="15"/>
          <c:tx>
            <c:strRef>
              <c:f>CALCS│Outcomes!$C$140</c:f>
              <c:strCache>
                <c:ptCount val="1"/>
                <c:pt idx="0">
                  <c:v>SSC</c:v>
                </c:pt>
              </c:strCache>
            </c:strRef>
          </c:tx>
          <c:spPr>
            <a:solidFill>
              <a:schemeClr val="accent6">
                <a:lumMod val="40000"/>
                <a:lumOff val="60000"/>
              </a:schemeClr>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CALCS│Outcomes!$E$140:$L$140</c:f>
              <c:numCache>
                <c:formatCode>#,##0;\-#,##0;\-</c:formatCode>
                <c:ptCount val="8"/>
                <c:pt idx="0">
                  <c:v>203.13721360999998</c:v>
                </c:pt>
                <c:pt idx="1">
                  <c:v>208.59449370000004</c:v>
                </c:pt>
                <c:pt idx="2">
                  <c:v>206.91912919999999</c:v>
                </c:pt>
                <c:pt idx="3">
                  <c:v>208.53647133999999</c:v>
                </c:pt>
                <c:pt idx="4">
                  <c:v>210.14674289000001</c:v>
                </c:pt>
                <c:pt idx="5">
                  <c:v>218.30113928999995</c:v>
                </c:pt>
                <c:pt idx="6">
                  <c:v>227.11635785000001</c:v>
                </c:pt>
                <c:pt idx="7">
                  <c:v>216.72791051999999</c:v>
                </c:pt>
              </c:numCache>
            </c:numRef>
          </c:val>
        </c:ser>
        <c:ser>
          <c:idx val="16"/>
          <c:order val="16"/>
          <c:tx>
            <c:strRef>
              <c:f>CALCS│Outcomes!$C$141</c:f>
              <c:strCache>
                <c:ptCount val="1"/>
                <c:pt idx="0">
                  <c:v>SES</c:v>
                </c:pt>
              </c:strCache>
            </c:strRef>
          </c:tx>
          <c:spPr>
            <a:solidFill>
              <a:schemeClr val="accent5">
                <a:lumMod val="50000"/>
              </a:schemeClr>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CALCS│Outcomes!$E$141:$L$141</c:f>
              <c:numCache>
                <c:formatCode>#,##0;\-#,##0;\-</c:formatCode>
                <c:ptCount val="8"/>
                <c:pt idx="0">
                  <c:v>106.21832000000001</c:v>
                </c:pt>
                <c:pt idx="1">
                  <c:v>109.6178996</c:v>
                </c:pt>
                <c:pt idx="2">
                  <c:v>108.25304012591486</c:v>
                </c:pt>
                <c:pt idx="3">
                  <c:v>108.50756104238741</c:v>
                </c:pt>
                <c:pt idx="4">
                  <c:v>107.78770112307629</c:v>
                </c:pt>
                <c:pt idx="5">
                  <c:v>110.53128447305504</c:v>
                </c:pt>
                <c:pt idx="6">
                  <c:v>113.78157904995329</c:v>
                </c:pt>
                <c:pt idx="7">
                  <c:v>111.30533652640916</c:v>
                </c:pt>
              </c:numCache>
            </c:numRef>
          </c:val>
        </c:ser>
        <c:dLbls>
          <c:showLegendKey val="0"/>
          <c:showVal val="0"/>
          <c:showCatName val="0"/>
          <c:showSerName val="0"/>
          <c:showPercent val="0"/>
          <c:showBubbleSize val="0"/>
        </c:dLbls>
        <c:gapWidth val="100"/>
        <c:overlap val="100"/>
        <c:axId val="424759544"/>
        <c:axId val="424761896"/>
      </c:barChart>
      <c:catAx>
        <c:axId val="424759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61896"/>
        <c:crosses val="autoZero"/>
        <c:auto val="1"/>
        <c:lblAlgn val="ctr"/>
        <c:lblOffset val="100"/>
        <c:noMultiLvlLbl val="0"/>
      </c:catAx>
      <c:valAx>
        <c:axId val="424761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Ml/day (000s)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9544"/>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'OUTPUT│Outcomes Trends'!$E$141</c:f>
              <c:strCache>
                <c:ptCount val="1"/>
                <c:pt idx="0">
                  <c:v>% change since 2012-13</c:v>
                </c:pt>
              </c:strCache>
            </c:strRef>
          </c:tx>
          <c:spPr>
            <a:solidFill>
              <a:schemeClr val="accent1"/>
            </a:solidFill>
            <a:ln>
              <a:noFill/>
            </a:ln>
            <a:effectLst/>
          </c:spPr>
          <c:invertIfNegative val="0"/>
          <c:dPt>
            <c:idx val="17"/>
            <c:invertIfNegative val="0"/>
            <c:bubble3D val="0"/>
            <c:spPr>
              <a:solidFill>
                <a:schemeClr val="accent5"/>
              </a:solidFill>
              <a:ln>
                <a:noFill/>
              </a:ln>
              <a:effectLst/>
            </c:spPr>
          </c:dPt>
          <c:cat>
            <c:strRef>
              <c:f>'OUTPUT│Outcomes Trends'!$D$142:$D$159</c:f>
              <c:strCache>
                <c:ptCount val="18"/>
                <c:pt idx="0">
                  <c:v>PRT</c:v>
                </c:pt>
                <c:pt idx="1">
                  <c:v>AFW</c:v>
                </c:pt>
                <c:pt idx="2">
                  <c:v>BRL</c:v>
                </c:pt>
                <c:pt idx="3">
                  <c:v>WSX</c:v>
                </c:pt>
                <c:pt idx="4">
                  <c:v>HDD</c:v>
                </c:pt>
                <c:pt idx="5">
                  <c:v>WSH</c:v>
                </c:pt>
                <c:pt idx="6">
                  <c:v>TMS</c:v>
                </c:pt>
                <c:pt idx="7">
                  <c:v>SVE</c:v>
                </c:pt>
                <c:pt idx="8">
                  <c:v>SEW</c:v>
                </c:pt>
                <c:pt idx="9">
                  <c:v>ANH</c:v>
                </c:pt>
                <c:pt idx="10">
                  <c:v>UU</c:v>
                </c:pt>
                <c:pt idx="11">
                  <c:v>SES</c:v>
                </c:pt>
                <c:pt idx="12">
                  <c:v>SWB</c:v>
                </c:pt>
                <c:pt idx="13">
                  <c:v>YKY</c:v>
                </c:pt>
                <c:pt idx="14">
                  <c:v>NES</c:v>
                </c:pt>
                <c:pt idx="15">
                  <c:v>SSC</c:v>
                </c:pt>
                <c:pt idx="16">
                  <c:v>SRN</c:v>
                </c:pt>
                <c:pt idx="17">
                  <c:v>Industry</c:v>
                </c:pt>
              </c:strCache>
            </c:strRef>
          </c:cat>
          <c:val>
            <c:numRef>
              <c:f>'OUTPUT│Outcomes Trends'!$E$142:$E$159</c:f>
              <c:numCache>
                <c:formatCode>0.0%</c:formatCode>
                <c:ptCount val="18"/>
                <c:pt idx="0">
                  <c:v>-0.30789550924567072</c:v>
                </c:pt>
                <c:pt idx="1">
                  <c:v>-0.14442403611031757</c:v>
                </c:pt>
                <c:pt idx="2">
                  <c:v>-0.1161520190023753</c:v>
                </c:pt>
                <c:pt idx="3">
                  <c:v>-0.10464098073555159</c:v>
                </c:pt>
                <c:pt idx="4">
                  <c:v>-9.719903012775713E-2</c:v>
                </c:pt>
                <c:pt idx="5">
                  <c:v>-9.1179653679653791E-2</c:v>
                </c:pt>
                <c:pt idx="6">
                  <c:v>-7.8558424477056868E-2</c:v>
                </c:pt>
                <c:pt idx="7">
                  <c:v>-7.2750057628692438E-2</c:v>
                </c:pt>
                <c:pt idx="8">
                  <c:v>-7.2559062195097654E-2</c:v>
                </c:pt>
                <c:pt idx="9">
                  <c:v>-3.5709817630670271E-2</c:v>
                </c:pt>
                <c:pt idx="10">
                  <c:v>-2.4616732190578573E-2</c:v>
                </c:pt>
                <c:pt idx="11">
                  <c:v>8.8458298230834394E-3</c:v>
                </c:pt>
                <c:pt idx="12">
                  <c:v>1.1582449105535075E-2</c:v>
                </c:pt>
                <c:pt idx="13">
                  <c:v>2.3165293628599485E-2</c:v>
                </c:pt>
                <c:pt idx="14">
                  <c:v>4.3027175057931411E-2</c:v>
                </c:pt>
                <c:pt idx="15">
                  <c:v>5.2570545032856568E-2</c:v>
                </c:pt>
                <c:pt idx="16">
                  <c:v>0.15714619754335196</c:v>
                </c:pt>
                <c:pt idx="17">
                  <c:v>-4.6107445867512024E-2</c:v>
                </c:pt>
              </c:numCache>
            </c:numRef>
          </c:val>
          <c:extLst xmlns:c16r2="http://schemas.microsoft.com/office/drawing/2015/06/chart">
            <c:ext xmlns:c16="http://schemas.microsoft.com/office/drawing/2014/chart" uri="{C3380CC4-5D6E-409C-BE32-E72D297353CC}">
              <c16:uniqueId val="{00000002-E37E-4795-8720-1930E81E66E0}"/>
            </c:ext>
          </c:extLst>
        </c:ser>
        <c:ser>
          <c:idx val="1"/>
          <c:order val="1"/>
          <c:tx>
            <c:strRef>
              <c:f>'OUTPUT│Outcomes Trends'!$F$141</c:f>
              <c:strCache>
                <c:ptCount val="1"/>
                <c:pt idx="0">
                  <c:v>% change since 2018-19</c:v>
                </c:pt>
              </c:strCache>
            </c:strRef>
          </c:tx>
          <c:spPr>
            <a:pattFill prst="dkUpDiag">
              <a:fgClr>
                <a:schemeClr val="accent1"/>
              </a:fgClr>
              <a:bgClr>
                <a:schemeClr val="bg1"/>
              </a:bgClr>
            </a:pattFill>
            <a:ln>
              <a:noFill/>
            </a:ln>
            <a:effectLst/>
          </c:spPr>
          <c:invertIfNegative val="0"/>
          <c:dPt>
            <c:idx val="17"/>
            <c:invertIfNegative val="0"/>
            <c:bubble3D val="0"/>
            <c:spPr>
              <a:pattFill prst="dkUpDiag">
                <a:fgClr>
                  <a:schemeClr val="accent5"/>
                </a:fgClr>
                <a:bgClr>
                  <a:schemeClr val="bg1"/>
                </a:bgClr>
              </a:pattFill>
              <a:ln>
                <a:noFill/>
              </a:ln>
              <a:effectLst/>
            </c:spPr>
          </c:dPt>
          <c:cat>
            <c:strRef>
              <c:f>'OUTPUT│Outcomes Trends'!$D$142:$D$159</c:f>
              <c:strCache>
                <c:ptCount val="18"/>
                <c:pt idx="0">
                  <c:v>PRT</c:v>
                </c:pt>
                <c:pt idx="1">
                  <c:v>AFW</c:v>
                </c:pt>
                <c:pt idx="2">
                  <c:v>BRL</c:v>
                </c:pt>
                <c:pt idx="3">
                  <c:v>WSX</c:v>
                </c:pt>
                <c:pt idx="4">
                  <c:v>HDD</c:v>
                </c:pt>
                <c:pt idx="5">
                  <c:v>WSH</c:v>
                </c:pt>
                <c:pt idx="6">
                  <c:v>TMS</c:v>
                </c:pt>
                <c:pt idx="7">
                  <c:v>SVE</c:v>
                </c:pt>
                <c:pt idx="8">
                  <c:v>SEW</c:v>
                </c:pt>
                <c:pt idx="9">
                  <c:v>ANH</c:v>
                </c:pt>
                <c:pt idx="10">
                  <c:v>UU</c:v>
                </c:pt>
                <c:pt idx="11">
                  <c:v>SES</c:v>
                </c:pt>
                <c:pt idx="12">
                  <c:v>SWB</c:v>
                </c:pt>
                <c:pt idx="13">
                  <c:v>YKY</c:v>
                </c:pt>
                <c:pt idx="14">
                  <c:v>NES</c:v>
                </c:pt>
                <c:pt idx="15">
                  <c:v>SSC</c:v>
                </c:pt>
                <c:pt idx="16">
                  <c:v>SRN</c:v>
                </c:pt>
                <c:pt idx="17">
                  <c:v>Industry</c:v>
                </c:pt>
              </c:strCache>
            </c:strRef>
          </c:cat>
          <c:val>
            <c:numRef>
              <c:f>'OUTPUT│Outcomes Trends'!$F$142:$F$159</c:f>
              <c:numCache>
                <c:formatCode>0.0%</c:formatCode>
                <c:ptCount val="18"/>
                <c:pt idx="0">
                  <c:v>-0.16145092460881943</c:v>
                </c:pt>
                <c:pt idx="1">
                  <c:v>-0.17317181653117855</c:v>
                </c:pt>
                <c:pt idx="2">
                  <c:v>-0.1078877966914409</c:v>
                </c:pt>
                <c:pt idx="3">
                  <c:v>-7.5915047446904638E-2</c:v>
                </c:pt>
                <c:pt idx="4">
                  <c:v>-0.16456312789224573</c:v>
                </c:pt>
                <c:pt idx="5">
                  <c:v>-9.3783178011089038E-3</c:v>
                </c:pt>
                <c:pt idx="6">
                  <c:v>-0.13841451932965418</c:v>
                </c:pt>
                <c:pt idx="7">
                  <c:v>-4.673390736058116E-2</c:v>
                </c:pt>
                <c:pt idx="8">
                  <c:v>-5.5202835416125222E-3</c:v>
                </c:pt>
                <c:pt idx="9">
                  <c:v>-4.6277292768383285E-2</c:v>
                </c:pt>
                <c:pt idx="10">
                  <c:v>-2.1645765666026977E-2</c:v>
                </c:pt>
                <c:pt idx="11">
                  <c:v>-8.2815734989647744E-3</c:v>
                </c:pt>
                <c:pt idx="12">
                  <c:v>2.5869446590971998E-2</c:v>
                </c:pt>
                <c:pt idx="13">
                  <c:v>-6.5638264830727766E-2</c:v>
                </c:pt>
                <c:pt idx="14">
                  <c:v>-1.1923767711035654E-2</c:v>
                </c:pt>
                <c:pt idx="15">
                  <c:v>-2.4480534989252414E-2</c:v>
                </c:pt>
                <c:pt idx="16">
                  <c:v>-7.6500049101443507E-2</c:v>
                </c:pt>
                <c:pt idx="17">
                  <c:v>-6.7990839591644217E-2</c:v>
                </c:pt>
              </c:numCache>
            </c:numRef>
          </c:val>
        </c:ser>
        <c:dLbls>
          <c:showLegendKey val="0"/>
          <c:showVal val="0"/>
          <c:showCatName val="0"/>
          <c:showSerName val="0"/>
          <c:showPercent val="0"/>
          <c:showBubbleSize val="0"/>
        </c:dLbls>
        <c:gapWidth val="150"/>
        <c:overlap val="-27"/>
        <c:axId val="425631928"/>
        <c:axId val="425638984"/>
      </c:barChart>
      <c:catAx>
        <c:axId val="4256319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8984"/>
        <c:crosses val="autoZero"/>
        <c:auto val="1"/>
        <c:lblAlgn val="ctr"/>
        <c:lblOffset val="100"/>
        <c:noMultiLvlLbl val="0"/>
      </c:catAx>
      <c:valAx>
        <c:axId val="425638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1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'OUTPUT│Outcomes Trends'!$E$163</c:f>
              <c:strCache>
                <c:ptCount val="1"/>
                <c:pt idx="0">
                  <c:v>% change since 2012-13</c:v>
                </c:pt>
              </c:strCache>
            </c:strRef>
          </c:tx>
          <c:spPr>
            <a:solidFill>
              <a:schemeClr val="accent1"/>
            </a:solidFill>
            <a:ln>
              <a:noFill/>
            </a:ln>
            <a:effectLst/>
          </c:spPr>
          <c:invertIfNegative val="0"/>
          <c:dPt>
            <c:idx val="17"/>
            <c:invertIfNegative val="0"/>
            <c:bubble3D val="0"/>
            <c:spPr>
              <a:solidFill>
                <a:schemeClr val="accent5"/>
              </a:solidFill>
              <a:ln>
                <a:noFill/>
              </a:ln>
              <a:effectLst/>
            </c:spPr>
          </c:dPt>
          <c:cat>
            <c:strRef>
              <c:f>'OUTPUT│Outcomes Trends'!$D$164:$D$181</c:f>
              <c:strCache>
                <c:ptCount val="18"/>
                <c:pt idx="0">
                  <c:v>PRT</c:v>
                </c:pt>
                <c:pt idx="1">
                  <c:v>AFW</c:v>
                </c:pt>
                <c:pt idx="2">
                  <c:v>BRL</c:v>
                </c:pt>
                <c:pt idx="3">
                  <c:v>WSX</c:v>
                </c:pt>
                <c:pt idx="4">
                  <c:v>HDD</c:v>
                </c:pt>
                <c:pt idx="5">
                  <c:v>WSH</c:v>
                </c:pt>
                <c:pt idx="6">
                  <c:v>SEW</c:v>
                </c:pt>
                <c:pt idx="7">
                  <c:v>SVE</c:v>
                </c:pt>
                <c:pt idx="8">
                  <c:v>TMS</c:v>
                </c:pt>
                <c:pt idx="9">
                  <c:v>ANH</c:v>
                </c:pt>
                <c:pt idx="10">
                  <c:v>UU</c:v>
                </c:pt>
                <c:pt idx="11">
                  <c:v>SES</c:v>
                </c:pt>
                <c:pt idx="12">
                  <c:v>SWB</c:v>
                </c:pt>
                <c:pt idx="13">
                  <c:v>YKY</c:v>
                </c:pt>
                <c:pt idx="14">
                  <c:v>NES</c:v>
                </c:pt>
                <c:pt idx="15">
                  <c:v>SSC</c:v>
                </c:pt>
                <c:pt idx="16">
                  <c:v>SRN</c:v>
                </c:pt>
                <c:pt idx="17">
                  <c:v>Industry</c:v>
                </c:pt>
              </c:strCache>
            </c:strRef>
          </c:cat>
          <c:val>
            <c:numRef>
              <c:f>'OUTPUT│Outcomes Trends'!$E$164:$E$181</c:f>
              <c:numCache>
                <c:formatCode>0.0%</c:formatCode>
                <c:ptCount val="18"/>
                <c:pt idx="0">
                  <c:v>-0.3260502182421145</c:v>
                </c:pt>
                <c:pt idx="1">
                  <c:v>-0.15668499586833454</c:v>
                </c:pt>
                <c:pt idx="2">
                  <c:v>-0.14159560356118986</c:v>
                </c:pt>
                <c:pt idx="3">
                  <c:v>-0.13575504951835635</c:v>
                </c:pt>
                <c:pt idx="4">
                  <c:v>-0.11174535683502249</c:v>
                </c:pt>
                <c:pt idx="5">
                  <c:v>-0.10781692461747014</c:v>
                </c:pt>
                <c:pt idx="6">
                  <c:v>-9.4868215443656589E-2</c:v>
                </c:pt>
                <c:pt idx="7">
                  <c:v>-9.4211219116156736E-2</c:v>
                </c:pt>
                <c:pt idx="8">
                  <c:v>-9.1294325071326315E-2</c:v>
                </c:pt>
                <c:pt idx="9">
                  <c:v>-5.3219198923959404E-2</c:v>
                </c:pt>
                <c:pt idx="10">
                  <c:v>-4.311741164184843E-2</c:v>
                </c:pt>
                <c:pt idx="11">
                  <c:v>-1.2816786462210667E-2</c:v>
                </c:pt>
                <c:pt idx="12">
                  <c:v>-8.8907949497893986E-3</c:v>
                </c:pt>
                <c:pt idx="13">
                  <c:v>3.3756728773509936E-3</c:v>
                </c:pt>
                <c:pt idx="14">
                  <c:v>1.1438024463337896E-2</c:v>
                </c:pt>
                <c:pt idx="15">
                  <c:v>2.0716775429461178E-2</c:v>
                </c:pt>
                <c:pt idx="16">
                  <c:v>0.13855881193840419</c:v>
                </c:pt>
                <c:pt idx="17">
                  <c:v>-6.59974389761325E-2</c:v>
                </c:pt>
              </c:numCache>
            </c:numRef>
          </c:val>
          <c:extLst xmlns:c16r2="http://schemas.microsoft.com/office/drawing/2015/06/chart">
            <c:ext xmlns:c16="http://schemas.microsoft.com/office/drawing/2014/chart" uri="{C3380CC4-5D6E-409C-BE32-E72D297353CC}">
              <c16:uniqueId val="{00000002-E37E-4795-8720-1930E81E66E0}"/>
            </c:ext>
          </c:extLst>
        </c:ser>
        <c:ser>
          <c:idx val="1"/>
          <c:order val="1"/>
          <c:tx>
            <c:strRef>
              <c:f>'OUTPUT│Outcomes Trends'!$F$163</c:f>
              <c:strCache>
                <c:ptCount val="1"/>
                <c:pt idx="0">
                  <c:v>% change since 2018-19</c:v>
                </c:pt>
              </c:strCache>
            </c:strRef>
          </c:tx>
          <c:spPr>
            <a:pattFill prst="dkUpDiag">
              <a:fgClr>
                <a:schemeClr val="accent1"/>
              </a:fgClr>
              <a:bgClr>
                <a:schemeClr val="bg1"/>
              </a:bgClr>
            </a:pattFill>
            <a:ln>
              <a:noFill/>
            </a:ln>
            <a:effectLst/>
          </c:spPr>
          <c:invertIfNegative val="0"/>
          <c:dPt>
            <c:idx val="17"/>
            <c:invertIfNegative val="0"/>
            <c:bubble3D val="0"/>
            <c:spPr>
              <a:pattFill prst="dkUpDiag">
                <a:fgClr>
                  <a:schemeClr val="accent5"/>
                </a:fgClr>
                <a:bgClr>
                  <a:schemeClr val="bg1"/>
                </a:bgClr>
              </a:pattFill>
              <a:ln>
                <a:noFill/>
              </a:ln>
              <a:effectLst/>
            </c:spPr>
          </c:dPt>
          <c:cat>
            <c:strRef>
              <c:f>'OUTPUT│Outcomes Trends'!$D$164:$D$181</c:f>
              <c:strCache>
                <c:ptCount val="18"/>
                <c:pt idx="0">
                  <c:v>PRT</c:v>
                </c:pt>
                <c:pt idx="1">
                  <c:v>AFW</c:v>
                </c:pt>
                <c:pt idx="2">
                  <c:v>BRL</c:v>
                </c:pt>
                <c:pt idx="3">
                  <c:v>WSX</c:v>
                </c:pt>
                <c:pt idx="4">
                  <c:v>HDD</c:v>
                </c:pt>
                <c:pt idx="5">
                  <c:v>WSH</c:v>
                </c:pt>
                <c:pt idx="6">
                  <c:v>SEW</c:v>
                </c:pt>
                <c:pt idx="7">
                  <c:v>SVE</c:v>
                </c:pt>
                <c:pt idx="8">
                  <c:v>TMS</c:v>
                </c:pt>
                <c:pt idx="9">
                  <c:v>ANH</c:v>
                </c:pt>
                <c:pt idx="10">
                  <c:v>UU</c:v>
                </c:pt>
                <c:pt idx="11">
                  <c:v>SES</c:v>
                </c:pt>
                <c:pt idx="12">
                  <c:v>SWB</c:v>
                </c:pt>
                <c:pt idx="13">
                  <c:v>YKY</c:v>
                </c:pt>
                <c:pt idx="14">
                  <c:v>NES</c:v>
                </c:pt>
                <c:pt idx="15">
                  <c:v>SSC</c:v>
                </c:pt>
                <c:pt idx="16">
                  <c:v>SRN</c:v>
                </c:pt>
                <c:pt idx="17">
                  <c:v>Industry</c:v>
                </c:pt>
              </c:strCache>
            </c:strRef>
          </c:cat>
          <c:val>
            <c:numRef>
              <c:f>'OUTPUT│Outcomes Trends'!$F$164:$F$181</c:f>
              <c:numCache>
                <c:formatCode>0.0%</c:formatCode>
                <c:ptCount val="18"/>
                <c:pt idx="0">
                  <c:v>-0.16394764668168052</c:v>
                </c:pt>
                <c:pt idx="1">
                  <c:v>-0.17615201599271796</c:v>
                </c:pt>
                <c:pt idx="2">
                  <c:v>-0.11137973177001398</c:v>
                </c:pt>
                <c:pt idx="3">
                  <c:v>-7.9875844831520076E-2</c:v>
                </c:pt>
                <c:pt idx="4">
                  <c:v>-0.16875709164765035</c:v>
                </c:pt>
                <c:pt idx="5">
                  <c:v>-1.2557348490303216E-2</c:v>
                </c:pt>
                <c:pt idx="6">
                  <c:v>-1.2286256783198002E-2</c:v>
                </c:pt>
                <c:pt idx="7">
                  <c:v>-5.1787297502395212E-2</c:v>
                </c:pt>
                <c:pt idx="8">
                  <c:v>-0.14043180183809764</c:v>
                </c:pt>
                <c:pt idx="9">
                  <c:v>-4.9347960080953213E-2</c:v>
                </c:pt>
                <c:pt idx="10">
                  <c:v>-2.5892562503233327E-2</c:v>
                </c:pt>
                <c:pt idx="11">
                  <c:v>-1.3847435729548063E-2</c:v>
                </c:pt>
                <c:pt idx="12">
                  <c:v>2.1999324332247768E-2</c:v>
                </c:pt>
                <c:pt idx="13">
                  <c:v>-6.8591573232342898E-2</c:v>
                </c:pt>
                <c:pt idx="14">
                  <c:v>-1.8255704085617466E-2</c:v>
                </c:pt>
                <c:pt idx="15">
                  <c:v>-3.0123641353082951E-2</c:v>
                </c:pt>
                <c:pt idx="16">
                  <c:v>-7.8472501780735782E-2</c:v>
                </c:pt>
                <c:pt idx="17">
                  <c:v>-7.1813072462341407E-2</c:v>
                </c:pt>
              </c:numCache>
            </c:numRef>
          </c:val>
        </c:ser>
        <c:dLbls>
          <c:showLegendKey val="0"/>
          <c:showVal val="0"/>
          <c:showCatName val="0"/>
          <c:showSerName val="0"/>
          <c:showPercent val="0"/>
          <c:showBubbleSize val="0"/>
        </c:dLbls>
        <c:gapWidth val="150"/>
        <c:overlap val="-27"/>
        <c:axId val="425638200"/>
        <c:axId val="425638592"/>
      </c:barChart>
      <c:catAx>
        <c:axId val="425638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8592"/>
        <c:crosses val="autoZero"/>
        <c:auto val="1"/>
        <c:lblAlgn val="ctr"/>
        <c:lblOffset val="100"/>
        <c:noMultiLvlLbl val="0"/>
      </c:catAx>
      <c:valAx>
        <c:axId val="4256385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'OUTPUT│Outcomes Trends'!$E$209</c:f>
              <c:strCache>
                <c:ptCount val="1"/>
                <c:pt idx="0">
                  <c:v>% change since 2012-13</c:v>
                </c:pt>
              </c:strCache>
            </c:strRef>
          </c:tx>
          <c:spPr>
            <a:solidFill>
              <a:schemeClr val="accent1"/>
            </a:solidFill>
            <a:ln>
              <a:noFill/>
            </a:ln>
            <a:effectLst/>
          </c:spPr>
          <c:invertIfNegative val="0"/>
          <c:dPt>
            <c:idx val="17"/>
            <c:invertIfNegative val="0"/>
            <c:bubble3D val="0"/>
            <c:spPr>
              <a:solidFill>
                <a:schemeClr val="accent5"/>
              </a:solidFill>
              <a:ln>
                <a:noFill/>
              </a:ln>
              <a:effectLst/>
            </c:spPr>
          </c:dPt>
          <c:cat>
            <c:strRef>
              <c:f>'OUTPUT│Outcomes Trends'!$D$210:$D$227</c:f>
              <c:strCache>
                <c:ptCount val="18"/>
                <c:pt idx="0">
                  <c:v>SRN</c:v>
                </c:pt>
                <c:pt idx="1">
                  <c:v>SES</c:v>
                </c:pt>
                <c:pt idx="2">
                  <c:v>TMS</c:v>
                </c:pt>
                <c:pt idx="3">
                  <c:v>SEW</c:v>
                </c:pt>
                <c:pt idx="4">
                  <c:v>ANH</c:v>
                </c:pt>
                <c:pt idx="5">
                  <c:v>SSC</c:v>
                </c:pt>
                <c:pt idx="6">
                  <c:v>YKY</c:v>
                </c:pt>
                <c:pt idx="7">
                  <c:v>PRT</c:v>
                </c:pt>
                <c:pt idx="8">
                  <c:v>NES</c:v>
                </c:pt>
                <c:pt idx="9">
                  <c:v>BRL</c:v>
                </c:pt>
                <c:pt idx="10">
                  <c:v>AFW</c:v>
                </c:pt>
                <c:pt idx="11">
                  <c:v>HDD</c:v>
                </c:pt>
                <c:pt idx="12">
                  <c:v>SVE</c:v>
                </c:pt>
                <c:pt idx="13">
                  <c:v>WSX</c:v>
                </c:pt>
                <c:pt idx="14">
                  <c:v>SWB</c:v>
                </c:pt>
                <c:pt idx="15">
                  <c:v>UU</c:v>
                </c:pt>
                <c:pt idx="16">
                  <c:v>WSH</c:v>
                </c:pt>
                <c:pt idx="17">
                  <c:v>Industry</c:v>
                </c:pt>
              </c:strCache>
            </c:strRef>
          </c:cat>
          <c:val>
            <c:numRef>
              <c:f>'OUTPUT│Outcomes Trends'!$E$210:$E$227</c:f>
              <c:numCache>
                <c:formatCode>0.0%</c:formatCode>
                <c:ptCount val="18"/>
                <c:pt idx="0">
                  <c:v>-0.1176197715382989</c:v>
                </c:pt>
                <c:pt idx="1">
                  <c:v>-7.3695048850640668E-2</c:v>
                </c:pt>
                <c:pt idx="2">
                  <c:v>-6.4547922785584966E-2</c:v>
                </c:pt>
                <c:pt idx="3">
                  <c:v>-6.0718347247009356E-2</c:v>
                </c:pt>
                <c:pt idx="4">
                  <c:v>-1.0059593033052101E-2</c:v>
                </c:pt>
                <c:pt idx="5">
                  <c:v>-9.1433707537216698E-3</c:v>
                </c:pt>
                <c:pt idx="6">
                  <c:v>1.0099715971588008E-2</c:v>
                </c:pt>
                <c:pt idx="7">
                  <c:v>3.0921822052497099E-2</c:v>
                </c:pt>
                <c:pt idx="8">
                  <c:v>3.1825342308650119E-2</c:v>
                </c:pt>
                <c:pt idx="9">
                  <c:v>4.166051716717209E-2</c:v>
                </c:pt>
                <c:pt idx="10">
                  <c:v>4.4383565038189438E-2</c:v>
                </c:pt>
                <c:pt idx="11">
                  <c:v>4.5792454256916394E-2</c:v>
                </c:pt>
                <c:pt idx="12">
                  <c:v>6.1859910669574941E-2</c:v>
                </c:pt>
                <c:pt idx="13">
                  <c:v>6.9220743914511468E-2</c:v>
                </c:pt>
                <c:pt idx="14">
                  <c:v>0.10602529909554942</c:v>
                </c:pt>
                <c:pt idx="15">
                  <c:v>0.1061289096968005</c:v>
                </c:pt>
                <c:pt idx="16">
                  <c:v>0.10628249068378841</c:v>
                </c:pt>
                <c:pt idx="17">
                  <c:v>1.7844560228875313E-2</c:v>
                </c:pt>
              </c:numCache>
            </c:numRef>
          </c:val>
          <c:extLst xmlns:c16r2="http://schemas.microsoft.com/office/drawing/2015/06/chart">
            <c:ext xmlns:c16="http://schemas.microsoft.com/office/drawing/2014/chart" uri="{C3380CC4-5D6E-409C-BE32-E72D297353CC}">
              <c16:uniqueId val="{00000002-E37E-4795-8720-1930E81E66E0}"/>
            </c:ext>
          </c:extLst>
        </c:ser>
        <c:ser>
          <c:idx val="1"/>
          <c:order val="1"/>
          <c:tx>
            <c:strRef>
              <c:f>'OUTPUT│Outcomes Trends'!$F$209</c:f>
              <c:strCache>
                <c:ptCount val="1"/>
                <c:pt idx="0">
                  <c:v>% change since 2018-19</c:v>
                </c:pt>
              </c:strCache>
            </c:strRef>
          </c:tx>
          <c:spPr>
            <a:pattFill prst="dkUpDiag">
              <a:fgClr>
                <a:schemeClr val="accent1"/>
              </a:fgClr>
              <a:bgClr>
                <a:schemeClr val="bg1"/>
              </a:bgClr>
            </a:pattFill>
            <a:ln>
              <a:noFill/>
            </a:ln>
            <a:effectLst/>
          </c:spPr>
          <c:invertIfNegative val="0"/>
          <c:dPt>
            <c:idx val="17"/>
            <c:invertIfNegative val="0"/>
            <c:bubble3D val="0"/>
            <c:spPr>
              <a:pattFill prst="dkUpDiag">
                <a:fgClr>
                  <a:schemeClr val="accent5"/>
                </a:fgClr>
                <a:bgClr>
                  <a:schemeClr val="bg1"/>
                </a:bgClr>
              </a:pattFill>
              <a:ln>
                <a:noFill/>
              </a:ln>
              <a:effectLst/>
            </c:spPr>
          </c:dPt>
          <c:cat>
            <c:strRef>
              <c:f>'OUTPUT│Outcomes Trends'!$D$210:$D$227</c:f>
              <c:strCache>
                <c:ptCount val="18"/>
                <c:pt idx="0">
                  <c:v>SRN</c:v>
                </c:pt>
                <c:pt idx="1">
                  <c:v>SES</c:v>
                </c:pt>
                <c:pt idx="2">
                  <c:v>TMS</c:v>
                </c:pt>
                <c:pt idx="3">
                  <c:v>SEW</c:v>
                </c:pt>
                <c:pt idx="4">
                  <c:v>ANH</c:v>
                </c:pt>
                <c:pt idx="5">
                  <c:v>SSC</c:v>
                </c:pt>
                <c:pt idx="6">
                  <c:v>YKY</c:v>
                </c:pt>
                <c:pt idx="7">
                  <c:v>PRT</c:v>
                </c:pt>
                <c:pt idx="8">
                  <c:v>NES</c:v>
                </c:pt>
                <c:pt idx="9">
                  <c:v>BRL</c:v>
                </c:pt>
                <c:pt idx="10">
                  <c:v>AFW</c:v>
                </c:pt>
                <c:pt idx="11">
                  <c:v>HDD</c:v>
                </c:pt>
                <c:pt idx="12">
                  <c:v>SVE</c:v>
                </c:pt>
                <c:pt idx="13">
                  <c:v>WSX</c:v>
                </c:pt>
                <c:pt idx="14">
                  <c:v>SWB</c:v>
                </c:pt>
                <c:pt idx="15">
                  <c:v>UU</c:v>
                </c:pt>
                <c:pt idx="16">
                  <c:v>WSH</c:v>
                </c:pt>
                <c:pt idx="17">
                  <c:v>Industry</c:v>
                </c:pt>
              </c:strCache>
            </c:strRef>
          </c:cat>
          <c:val>
            <c:numRef>
              <c:f>'OUTPUT│Outcomes Trends'!$F$210:$F$227</c:f>
              <c:numCache>
                <c:formatCode>0.0%</c:formatCode>
                <c:ptCount val="18"/>
                <c:pt idx="0">
                  <c:v>-2.4658318162562254E-2</c:v>
                </c:pt>
                <c:pt idx="1">
                  <c:v>-5.7548677617468263E-2</c:v>
                </c:pt>
                <c:pt idx="2">
                  <c:v>-3.4023884754345196E-3</c:v>
                </c:pt>
                <c:pt idx="3">
                  <c:v>-1.5371644454372413E-2</c:v>
                </c:pt>
                <c:pt idx="4">
                  <c:v>-6.4761095828304036E-3</c:v>
                </c:pt>
                <c:pt idx="5">
                  <c:v>-5.7469971993366044E-2</c:v>
                </c:pt>
                <c:pt idx="6">
                  <c:v>1.0604447754492386E-2</c:v>
                </c:pt>
                <c:pt idx="7">
                  <c:v>-4.7876445353600451E-3</c:v>
                </c:pt>
                <c:pt idx="8">
                  <c:v>-2.1535318132139353E-2</c:v>
                </c:pt>
                <c:pt idx="9">
                  <c:v>-2.7697008492046014E-2</c:v>
                </c:pt>
                <c:pt idx="10">
                  <c:v>-2.4138035359418046E-2</c:v>
                </c:pt>
                <c:pt idx="11">
                  <c:v>1.466507061892352E-4</c:v>
                </c:pt>
                <c:pt idx="12">
                  <c:v>-1.8716094495333773E-2</c:v>
                </c:pt>
                <c:pt idx="13">
                  <c:v>-1.0456336778607285E-2</c:v>
                </c:pt>
                <c:pt idx="14">
                  <c:v>-2.2114136314756255E-2</c:v>
                </c:pt>
                <c:pt idx="15">
                  <c:v>-1.729734198466602E-2</c:v>
                </c:pt>
                <c:pt idx="16">
                  <c:v>1.4880737886492438E-2</c:v>
                </c:pt>
                <c:pt idx="17">
                  <c:v>-1.2522685803890045E-2</c:v>
                </c:pt>
              </c:numCache>
            </c:numRef>
          </c:val>
        </c:ser>
        <c:dLbls>
          <c:showLegendKey val="0"/>
          <c:showVal val="0"/>
          <c:showCatName val="0"/>
          <c:showSerName val="0"/>
          <c:showPercent val="0"/>
          <c:showBubbleSize val="0"/>
        </c:dLbls>
        <c:gapWidth val="150"/>
        <c:overlap val="-27"/>
        <c:axId val="425633104"/>
        <c:axId val="425632712"/>
      </c:barChart>
      <c:catAx>
        <c:axId val="4256331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2712"/>
        <c:crosses val="autoZero"/>
        <c:auto val="1"/>
        <c:lblAlgn val="ctr"/>
        <c:lblOffset val="100"/>
        <c:noMultiLvlLbl val="0"/>
      </c:catAx>
      <c:valAx>
        <c:axId val="425632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'OUTPUT│Outcomes Trends'!$E$297</c:f>
              <c:strCache>
                <c:ptCount val="1"/>
                <c:pt idx="0">
                  <c:v>% change since 2012</c:v>
                </c:pt>
              </c:strCache>
            </c:strRef>
          </c:tx>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85BC-4ED0-8119-DD9B89510167}"/>
              </c:ext>
            </c:extLst>
          </c:dPt>
          <c:cat>
            <c:strRef>
              <c:f>'OUTPUT│Outcomes Trends'!$D$298:$D$315</c:f>
              <c:strCache>
                <c:ptCount val="18"/>
                <c:pt idx="0">
                  <c:v>HDD</c:v>
                </c:pt>
                <c:pt idx="1">
                  <c:v>SWB</c:v>
                </c:pt>
                <c:pt idx="2">
                  <c:v>NES</c:v>
                </c:pt>
                <c:pt idx="3">
                  <c:v>YKY</c:v>
                </c:pt>
                <c:pt idx="4">
                  <c:v>SEW</c:v>
                </c:pt>
                <c:pt idx="5">
                  <c:v>BRL</c:v>
                </c:pt>
                <c:pt idx="6">
                  <c:v>WSX</c:v>
                </c:pt>
                <c:pt idx="7">
                  <c:v>SSC</c:v>
                </c:pt>
                <c:pt idx="8">
                  <c:v>ANH</c:v>
                </c:pt>
                <c:pt idx="9">
                  <c:v>PRT</c:v>
                </c:pt>
                <c:pt idx="10">
                  <c:v>SRN</c:v>
                </c:pt>
                <c:pt idx="11">
                  <c:v>AFW</c:v>
                </c:pt>
                <c:pt idx="12">
                  <c:v>SVE</c:v>
                </c:pt>
                <c:pt idx="13">
                  <c:v>UU</c:v>
                </c:pt>
                <c:pt idx="14">
                  <c:v>SES</c:v>
                </c:pt>
                <c:pt idx="15">
                  <c:v>WSH</c:v>
                </c:pt>
                <c:pt idx="16">
                  <c:v>TMS</c:v>
                </c:pt>
                <c:pt idx="17">
                  <c:v>Industry</c:v>
                </c:pt>
              </c:strCache>
            </c:strRef>
          </c:cat>
          <c:val>
            <c:numRef>
              <c:f>'OUTPUT│Outcomes Trends'!$E$298:$E$315</c:f>
              <c:numCache>
                <c:formatCode>0.0%</c:formatCode>
                <c:ptCount val="18"/>
                <c:pt idx="0">
                  <c:v>-0.61280487804878048</c:v>
                </c:pt>
                <c:pt idx="1">
                  <c:v>-0.5412714429868819</c:v>
                </c:pt>
                <c:pt idx="2">
                  <c:v>-0.43260077564931249</c:v>
                </c:pt>
                <c:pt idx="3">
                  <c:v>-0.42873283504258647</c:v>
                </c:pt>
                <c:pt idx="4">
                  <c:v>-0.38450732490467587</c:v>
                </c:pt>
                <c:pt idx="5">
                  <c:v>-0.31761978361669241</c:v>
                </c:pt>
                <c:pt idx="6">
                  <c:v>-0.31245901639344265</c:v>
                </c:pt>
                <c:pt idx="7">
                  <c:v>-0.3094170403587444</c:v>
                </c:pt>
                <c:pt idx="8">
                  <c:v>-0.23885304659498208</c:v>
                </c:pt>
                <c:pt idx="9">
                  <c:v>-0.22739726027397261</c:v>
                </c:pt>
                <c:pt idx="10">
                  <c:v>-0.18418259023354563</c:v>
                </c:pt>
                <c:pt idx="11">
                  <c:v>-0.17801608579088471</c:v>
                </c:pt>
                <c:pt idx="12">
                  <c:v>-0.1587654131883281</c:v>
                </c:pt>
                <c:pt idx="13">
                  <c:v>-0.11372299872935197</c:v>
                </c:pt>
                <c:pt idx="14">
                  <c:v>-0.11139896373056994</c:v>
                </c:pt>
                <c:pt idx="15">
                  <c:v>-5.9312467932272961E-2</c:v>
                </c:pt>
                <c:pt idx="16">
                  <c:v>4.6496180670873466E-2</c:v>
                </c:pt>
                <c:pt idx="17">
                  <c:v>-0.25521067482902099</c:v>
                </c:pt>
              </c:numCache>
            </c:numRef>
          </c:val>
          <c:extLst xmlns:c16r2="http://schemas.microsoft.com/office/drawing/2015/06/chart">
            <c:ext xmlns:c16="http://schemas.microsoft.com/office/drawing/2014/chart" uri="{C3380CC4-5D6E-409C-BE32-E72D297353CC}">
              <c16:uniqueId val="{00000002-85BC-4ED0-8119-DD9B89510167}"/>
            </c:ext>
          </c:extLst>
        </c:ser>
        <c:ser>
          <c:idx val="1"/>
          <c:order val="1"/>
          <c:tx>
            <c:strRef>
              <c:f>'OUTPUT│Outcomes Trends'!$F$297</c:f>
              <c:strCache>
                <c:ptCount val="1"/>
                <c:pt idx="0">
                  <c:v>% change since 2018</c:v>
                </c:pt>
              </c:strCache>
            </c:strRef>
          </c:tx>
          <c:spPr>
            <a:pattFill prst="dkUpDiag">
              <a:fgClr>
                <a:schemeClr val="accent1"/>
              </a:fgClr>
              <a:bgClr>
                <a:schemeClr val="bg1"/>
              </a:bgClr>
            </a:pattFill>
            <a:ln>
              <a:noFill/>
            </a:ln>
            <a:effectLst/>
          </c:spPr>
          <c:invertIfNegative val="0"/>
          <c:dPt>
            <c:idx val="17"/>
            <c:invertIfNegative val="0"/>
            <c:bubble3D val="0"/>
            <c:spPr>
              <a:pattFill prst="dkUpDiag">
                <a:fgClr>
                  <a:schemeClr val="accent5"/>
                </a:fgClr>
                <a:bgClr>
                  <a:schemeClr val="bg1"/>
                </a:bgClr>
              </a:pattFill>
              <a:ln>
                <a:noFill/>
              </a:ln>
              <a:effectLst/>
            </c:spPr>
          </c:dPt>
          <c:cat>
            <c:strRef>
              <c:f>'OUTPUT│Outcomes Trends'!$D$298:$D$315</c:f>
              <c:strCache>
                <c:ptCount val="18"/>
                <c:pt idx="0">
                  <c:v>HDD</c:v>
                </c:pt>
                <c:pt idx="1">
                  <c:v>SWB</c:v>
                </c:pt>
                <c:pt idx="2">
                  <c:v>NES</c:v>
                </c:pt>
                <c:pt idx="3">
                  <c:v>YKY</c:v>
                </c:pt>
                <c:pt idx="4">
                  <c:v>SEW</c:v>
                </c:pt>
                <c:pt idx="5">
                  <c:v>BRL</c:v>
                </c:pt>
                <c:pt idx="6">
                  <c:v>WSX</c:v>
                </c:pt>
                <c:pt idx="7">
                  <c:v>SSC</c:v>
                </c:pt>
                <c:pt idx="8">
                  <c:v>ANH</c:v>
                </c:pt>
                <c:pt idx="9">
                  <c:v>PRT</c:v>
                </c:pt>
                <c:pt idx="10">
                  <c:v>SRN</c:v>
                </c:pt>
                <c:pt idx="11">
                  <c:v>AFW</c:v>
                </c:pt>
                <c:pt idx="12">
                  <c:v>SVE</c:v>
                </c:pt>
                <c:pt idx="13">
                  <c:v>UU</c:v>
                </c:pt>
                <c:pt idx="14">
                  <c:v>SES</c:v>
                </c:pt>
                <c:pt idx="15">
                  <c:v>WSH</c:v>
                </c:pt>
                <c:pt idx="16">
                  <c:v>TMS</c:v>
                </c:pt>
                <c:pt idx="17">
                  <c:v>Industry</c:v>
                </c:pt>
              </c:strCache>
            </c:strRef>
          </c:cat>
          <c:val>
            <c:numRef>
              <c:f>'OUTPUT│Outcomes Trends'!$F$298:$F$315</c:f>
              <c:numCache>
                <c:formatCode>0.0%</c:formatCode>
                <c:ptCount val="18"/>
                <c:pt idx="0">
                  <c:v>-0.15474209650582363</c:v>
                </c:pt>
                <c:pt idx="1">
                  <c:v>-0.1309501051424202</c:v>
                </c:pt>
                <c:pt idx="2">
                  <c:v>-0.18141742963716515</c:v>
                </c:pt>
                <c:pt idx="3">
                  <c:v>-0.20788141720896602</c:v>
                </c:pt>
                <c:pt idx="4">
                  <c:v>-7.620481927710844E-2</c:v>
                </c:pt>
                <c:pt idx="5">
                  <c:v>-0.12530955918771669</c:v>
                </c:pt>
                <c:pt idx="6">
                  <c:v>4.3283582089552242E-2</c:v>
                </c:pt>
                <c:pt idx="7">
                  <c:v>-0.20334261838440112</c:v>
                </c:pt>
                <c:pt idx="8">
                  <c:v>-2.0118124769287558E-2</c:v>
                </c:pt>
                <c:pt idx="9">
                  <c:v>-9.6153846153846159E-2</c:v>
                </c:pt>
                <c:pt idx="10">
                  <c:v>-3.0895334174022699E-2</c:v>
                </c:pt>
                <c:pt idx="11">
                  <c:v>-8.7293889427740058E-3</c:v>
                </c:pt>
                <c:pt idx="12">
                  <c:v>-0.13756281407035176</c:v>
                </c:pt>
                <c:pt idx="13">
                  <c:v>-6.1932620536614885E-2</c:v>
                </c:pt>
                <c:pt idx="14">
                  <c:v>-0.14888337468982629</c:v>
                </c:pt>
                <c:pt idx="15">
                  <c:v>-0.13306222810667676</c:v>
                </c:pt>
                <c:pt idx="16">
                  <c:v>3.2268632268632268E-2</c:v>
                </c:pt>
                <c:pt idx="17">
                  <c:v>-0.10060757271236168</c:v>
                </c:pt>
              </c:numCache>
            </c:numRef>
          </c:val>
        </c:ser>
        <c:dLbls>
          <c:showLegendKey val="0"/>
          <c:showVal val="0"/>
          <c:showCatName val="0"/>
          <c:showSerName val="0"/>
          <c:showPercent val="0"/>
          <c:showBubbleSize val="0"/>
        </c:dLbls>
        <c:gapWidth val="150"/>
        <c:overlap val="-27"/>
        <c:axId val="425633496"/>
        <c:axId val="425637808"/>
      </c:barChart>
      <c:catAx>
        <c:axId val="4256334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7808"/>
        <c:crosses val="autoZero"/>
        <c:auto val="1"/>
        <c:lblAlgn val="ctr"/>
        <c:lblOffset val="100"/>
        <c:noMultiLvlLbl val="0"/>
      </c:catAx>
      <c:valAx>
        <c:axId val="425637808"/>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3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'OUTPUT│Outcomes Trends'!$E$341</c:f>
              <c:strCache>
                <c:ptCount val="1"/>
                <c:pt idx="0">
                  <c:v>% change since 2012-13</c:v>
                </c:pt>
              </c:strCache>
            </c:strRef>
          </c:tx>
          <c:spPr>
            <a:solidFill>
              <a:schemeClr val="accent1"/>
            </a:solidFill>
            <a:ln>
              <a:noFill/>
            </a:ln>
            <a:effectLst/>
          </c:spPr>
          <c:invertIfNegative val="0"/>
          <c:dPt>
            <c:idx val="10"/>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8205-4E88-BA86-7B716AB7EFCB}"/>
              </c:ext>
            </c:extLst>
          </c:dPt>
          <c:cat>
            <c:strRef>
              <c:f>'OUTPUT│Outcomes Trends'!$D$342:$D$352</c:f>
              <c:strCache>
                <c:ptCount val="11"/>
                <c:pt idx="0">
                  <c:v>ANH</c:v>
                </c:pt>
                <c:pt idx="1">
                  <c:v>TMS</c:v>
                </c:pt>
                <c:pt idx="2">
                  <c:v>SVE</c:v>
                </c:pt>
                <c:pt idx="3">
                  <c:v>WSH</c:v>
                </c:pt>
                <c:pt idx="4">
                  <c:v>YKY</c:v>
                </c:pt>
                <c:pt idx="5">
                  <c:v>NES</c:v>
                </c:pt>
                <c:pt idx="6">
                  <c:v>SWB</c:v>
                </c:pt>
                <c:pt idx="7">
                  <c:v>SRN</c:v>
                </c:pt>
                <c:pt idx="8">
                  <c:v>UU</c:v>
                </c:pt>
                <c:pt idx="9">
                  <c:v>WSX</c:v>
                </c:pt>
                <c:pt idx="10">
                  <c:v>Industry</c:v>
                </c:pt>
              </c:strCache>
            </c:strRef>
          </c:cat>
          <c:val>
            <c:numRef>
              <c:f>'OUTPUT│Outcomes Trends'!$E$342:$E$352</c:f>
              <c:numCache>
                <c:formatCode>0.0%</c:formatCode>
                <c:ptCount val="11"/>
                <c:pt idx="0">
                  <c:v>-0.37684210526315787</c:v>
                </c:pt>
                <c:pt idx="1">
                  <c:v>-0.36072507552870092</c:v>
                </c:pt>
                <c:pt idx="2">
                  <c:v>-0.2071917808219178</c:v>
                </c:pt>
                <c:pt idx="3">
                  <c:v>-0.18490566037735848</c:v>
                </c:pt>
                <c:pt idx="4">
                  <c:v>-0.17719568567026195</c:v>
                </c:pt>
                <c:pt idx="5">
                  <c:v>-0.17062634989200864</c:v>
                </c:pt>
                <c:pt idx="6">
                  <c:v>-0.12087912087912088</c:v>
                </c:pt>
                <c:pt idx="7">
                  <c:v>-6.9815195071868577E-2</c:v>
                </c:pt>
                <c:pt idx="8">
                  <c:v>-4.2079207920792082E-2</c:v>
                </c:pt>
                <c:pt idx="9">
                  <c:v>4.2857142857142858E-2</c:v>
                </c:pt>
                <c:pt idx="10">
                  <c:v>-0.20619235836627142</c:v>
                </c:pt>
              </c:numCache>
            </c:numRef>
          </c:val>
          <c:extLst xmlns:c16r2="http://schemas.microsoft.com/office/drawing/2015/06/chart">
            <c:ext xmlns:c16="http://schemas.microsoft.com/office/drawing/2014/chart" uri="{C3380CC4-5D6E-409C-BE32-E72D297353CC}">
              <c16:uniqueId val="{00000002-8205-4E88-BA86-7B716AB7EFCB}"/>
            </c:ext>
          </c:extLst>
        </c:ser>
        <c:ser>
          <c:idx val="1"/>
          <c:order val="1"/>
          <c:tx>
            <c:strRef>
              <c:f>'OUTPUT│Outcomes Trends'!$F$341</c:f>
              <c:strCache>
                <c:ptCount val="1"/>
                <c:pt idx="0">
                  <c:v>% change since 2018-19</c:v>
                </c:pt>
              </c:strCache>
            </c:strRef>
          </c:tx>
          <c:spPr>
            <a:pattFill prst="dkUpDiag">
              <a:fgClr>
                <a:schemeClr val="accent1"/>
              </a:fgClr>
              <a:bgClr>
                <a:schemeClr val="bg1"/>
              </a:bgClr>
            </a:pattFill>
            <a:ln>
              <a:noFill/>
            </a:ln>
            <a:effectLst/>
          </c:spPr>
          <c:invertIfNegative val="0"/>
          <c:dPt>
            <c:idx val="10"/>
            <c:invertIfNegative val="0"/>
            <c:bubble3D val="0"/>
            <c:spPr>
              <a:pattFill prst="dkUpDiag">
                <a:fgClr>
                  <a:schemeClr val="accent5"/>
                </a:fgClr>
                <a:bgClr>
                  <a:schemeClr val="bg1"/>
                </a:bgClr>
              </a:pattFill>
              <a:ln>
                <a:noFill/>
              </a:ln>
              <a:effectLst/>
            </c:spPr>
          </c:dPt>
          <c:cat>
            <c:strRef>
              <c:f>'OUTPUT│Outcomes Trends'!$D$342:$D$352</c:f>
              <c:strCache>
                <c:ptCount val="11"/>
                <c:pt idx="0">
                  <c:v>ANH</c:v>
                </c:pt>
                <c:pt idx="1">
                  <c:v>TMS</c:v>
                </c:pt>
                <c:pt idx="2">
                  <c:v>SVE</c:v>
                </c:pt>
                <c:pt idx="3">
                  <c:v>WSH</c:v>
                </c:pt>
                <c:pt idx="4">
                  <c:v>YKY</c:v>
                </c:pt>
                <c:pt idx="5">
                  <c:v>NES</c:v>
                </c:pt>
                <c:pt idx="6">
                  <c:v>SWB</c:v>
                </c:pt>
                <c:pt idx="7">
                  <c:v>SRN</c:v>
                </c:pt>
                <c:pt idx="8">
                  <c:v>UU</c:v>
                </c:pt>
                <c:pt idx="9">
                  <c:v>WSX</c:v>
                </c:pt>
                <c:pt idx="10">
                  <c:v>Industry</c:v>
                </c:pt>
              </c:strCache>
            </c:strRef>
          </c:cat>
          <c:val>
            <c:numRef>
              <c:f>'OUTPUT│Outcomes Trends'!$F$342:$F$352</c:f>
              <c:numCache>
                <c:formatCode>0.0%</c:formatCode>
                <c:ptCount val="11"/>
                <c:pt idx="0">
                  <c:v>-0.13450292397660818</c:v>
                </c:pt>
                <c:pt idx="1">
                  <c:v>2.5193798449612403E-2</c:v>
                </c:pt>
                <c:pt idx="2">
                  <c:v>0.27724137931034482</c:v>
                </c:pt>
                <c:pt idx="3">
                  <c:v>-2.2624434389140271E-2</c:v>
                </c:pt>
                <c:pt idx="4">
                  <c:v>-5.3191489361702128E-2</c:v>
                </c:pt>
                <c:pt idx="5">
                  <c:v>-4.4776119402985072E-2</c:v>
                </c:pt>
                <c:pt idx="6">
                  <c:v>0.72043010752688175</c:v>
                </c:pt>
                <c:pt idx="7">
                  <c:v>0.16452442159383032</c:v>
                </c:pt>
                <c:pt idx="8">
                  <c:v>0.36749116607773852</c:v>
                </c:pt>
                <c:pt idx="9">
                  <c:v>-0.18435754189944134</c:v>
                </c:pt>
                <c:pt idx="10">
                  <c:v>6.7316209034543842E-2</c:v>
                </c:pt>
              </c:numCache>
            </c:numRef>
          </c:val>
        </c:ser>
        <c:dLbls>
          <c:showLegendKey val="0"/>
          <c:showVal val="0"/>
          <c:showCatName val="0"/>
          <c:showSerName val="0"/>
          <c:showPercent val="0"/>
          <c:showBubbleSize val="0"/>
        </c:dLbls>
        <c:gapWidth val="150"/>
        <c:overlap val="-27"/>
        <c:axId val="425634280"/>
        <c:axId val="425634672"/>
      </c:barChart>
      <c:catAx>
        <c:axId val="425634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4672"/>
        <c:crosses val="autoZero"/>
        <c:auto val="1"/>
        <c:lblAlgn val="ctr"/>
        <c:lblOffset val="100"/>
        <c:noMultiLvlLbl val="0"/>
      </c:catAx>
      <c:valAx>
        <c:axId val="425634672"/>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4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'OUTPUT│Outcomes Trends'!$E$382</c:f>
              <c:strCache>
                <c:ptCount val="1"/>
                <c:pt idx="0">
                  <c:v>% change since 2012</c:v>
                </c:pt>
              </c:strCache>
            </c:strRef>
          </c:tx>
          <c:spPr>
            <a:solidFill>
              <a:schemeClr val="accent1"/>
            </a:solidFill>
            <a:ln>
              <a:noFill/>
            </a:ln>
            <a:effectLst/>
          </c:spPr>
          <c:invertIfNegative val="0"/>
          <c:dPt>
            <c:idx val="10"/>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294C-4A8F-8F0F-4C8B80CC52C0}"/>
              </c:ext>
            </c:extLst>
          </c:dPt>
          <c:cat>
            <c:strRef>
              <c:f>'OUTPUT│Outcomes Trends'!$D$383:$D$393</c:f>
              <c:strCache>
                <c:ptCount val="11"/>
                <c:pt idx="0">
                  <c:v>NES</c:v>
                </c:pt>
                <c:pt idx="1">
                  <c:v>WSH</c:v>
                </c:pt>
                <c:pt idx="2">
                  <c:v>ANH</c:v>
                </c:pt>
                <c:pt idx="3">
                  <c:v>UU</c:v>
                </c:pt>
                <c:pt idx="4">
                  <c:v>SVE</c:v>
                </c:pt>
                <c:pt idx="5">
                  <c:v>TMS</c:v>
                </c:pt>
                <c:pt idx="6">
                  <c:v>YKY</c:v>
                </c:pt>
                <c:pt idx="7">
                  <c:v>SWB</c:v>
                </c:pt>
                <c:pt idx="8">
                  <c:v>SRN</c:v>
                </c:pt>
                <c:pt idx="9">
                  <c:v>WSX</c:v>
                </c:pt>
                <c:pt idx="10">
                  <c:v>Industry</c:v>
                </c:pt>
              </c:strCache>
            </c:strRef>
          </c:cat>
          <c:val>
            <c:numRef>
              <c:f>'OUTPUT│Outcomes Trends'!$E$383:$E$393</c:f>
              <c:numCache>
                <c:formatCode>0.0%</c:formatCode>
                <c:ptCount val="11"/>
                <c:pt idx="0">
                  <c:v>-0.76041666666666663</c:v>
                </c:pt>
                <c:pt idx="1">
                  <c:v>-0.52763819095477382</c:v>
                </c:pt>
                <c:pt idx="2">
                  <c:v>-0.40582959641255606</c:v>
                </c:pt>
                <c:pt idx="3">
                  <c:v>-0.37654320987654322</c:v>
                </c:pt>
                <c:pt idx="4">
                  <c:v>-0.35616438356164382</c:v>
                </c:pt>
                <c:pt idx="5">
                  <c:v>-0.30555555555555558</c:v>
                </c:pt>
                <c:pt idx="6">
                  <c:v>-0.30039525691699603</c:v>
                </c:pt>
                <c:pt idx="7">
                  <c:v>-0.12621359223300971</c:v>
                </c:pt>
                <c:pt idx="8">
                  <c:v>5.1344743276283619E-2</c:v>
                </c:pt>
                <c:pt idx="9">
                  <c:v>0.24590163934426229</c:v>
                </c:pt>
                <c:pt idx="10">
                  <c:v>-0.30482381115292506</c:v>
                </c:pt>
              </c:numCache>
            </c:numRef>
          </c:val>
          <c:extLst xmlns:c16r2="http://schemas.microsoft.com/office/drawing/2015/06/chart">
            <c:ext xmlns:c16="http://schemas.microsoft.com/office/drawing/2014/chart" uri="{C3380CC4-5D6E-409C-BE32-E72D297353CC}">
              <c16:uniqueId val="{00000002-294C-4A8F-8F0F-4C8B80CC52C0}"/>
            </c:ext>
          </c:extLst>
        </c:ser>
        <c:ser>
          <c:idx val="1"/>
          <c:order val="1"/>
          <c:tx>
            <c:strRef>
              <c:f>'OUTPUT│Outcomes Trends'!$F$382</c:f>
              <c:strCache>
                <c:ptCount val="1"/>
                <c:pt idx="0">
                  <c:v>% change since 2018</c:v>
                </c:pt>
              </c:strCache>
            </c:strRef>
          </c:tx>
          <c:spPr>
            <a:pattFill prst="dkUpDiag">
              <a:fgClr>
                <a:schemeClr val="accent1"/>
              </a:fgClr>
              <a:bgClr>
                <a:schemeClr val="bg1"/>
              </a:bgClr>
            </a:pattFill>
            <a:ln>
              <a:noFill/>
            </a:ln>
            <a:effectLst/>
          </c:spPr>
          <c:invertIfNegative val="0"/>
          <c:dPt>
            <c:idx val="10"/>
            <c:invertIfNegative val="0"/>
            <c:bubble3D val="0"/>
            <c:spPr>
              <a:pattFill prst="dkUpDiag">
                <a:fgClr>
                  <a:schemeClr val="accent5"/>
                </a:fgClr>
                <a:bgClr>
                  <a:schemeClr val="bg1"/>
                </a:bgClr>
              </a:pattFill>
              <a:ln>
                <a:noFill/>
              </a:ln>
              <a:effectLst/>
            </c:spPr>
          </c:dPt>
          <c:cat>
            <c:strRef>
              <c:f>'OUTPUT│Outcomes Trends'!$D$383:$D$393</c:f>
              <c:strCache>
                <c:ptCount val="11"/>
                <c:pt idx="0">
                  <c:v>NES</c:v>
                </c:pt>
                <c:pt idx="1">
                  <c:v>WSH</c:v>
                </c:pt>
                <c:pt idx="2">
                  <c:v>ANH</c:v>
                </c:pt>
                <c:pt idx="3">
                  <c:v>UU</c:v>
                </c:pt>
                <c:pt idx="4">
                  <c:v>SVE</c:v>
                </c:pt>
                <c:pt idx="5">
                  <c:v>TMS</c:v>
                </c:pt>
                <c:pt idx="6">
                  <c:v>YKY</c:v>
                </c:pt>
                <c:pt idx="7">
                  <c:v>SWB</c:v>
                </c:pt>
                <c:pt idx="8">
                  <c:v>SRN</c:v>
                </c:pt>
                <c:pt idx="9">
                  <c:v>WSX</c:v>
                </c:pt>
                <c:pt idx="10">
                  <c:v>Industry</c:v>
                </c:pt>
              </c:strCache>
            </c:strRef>
          </c:cat>
          <c:val>
            <c:numRef>
              <c:f>'OUTPUT│Outcomes Trends'!$F$383:$F$393</c:f>
              <c:numCache>
                <c:formatCode>0.0%</c:formatCode>
                <c:ptCount val="11"/>
                <c:pt idx="0">
                  <c:v>0.24324324324324326</c:v>
                </c:pt>
                <c:pt idx="1">
                  <c:v>-6.9306930693069313E-2</c:v>
                </c:pt>
                <c:pt idx="2">
                  <c:v>0.40211640211640209</c:v>
                </c:pt>
                <c:pt idx="3">
                  <c:v>0.12849162011173185</c:v>
                </c:pt>
                <c:pt idx="4">
                  <c:v>-0.15770609318996415</c:v>
                </c:pt>
                <c:pt idx="5">
                  <c:v>9.4276094276094277E-2</c:v>
                </c:pt>
                <c:pt idx="6">
                  <c:v>-0.20982142857142858</c:v>
                </c:pt>
                <c:pt idx="7">
                  <c:v>7.1428571428571425E-2</c:v>
                </c:pt>
                <c:pt idx="8">
                  <c:v>1.8859060402684564</c:v>
                </c:pt>
                <c:pt idx="9">
                  <c:v>-7.3170731707317069E-2</c:v>
                </c:pt>
                <c:pt idx="10">
                  <c:v>0.18899941486249269</c:v>
                </c:pt>
              </c:numCache>
            </c:numRef>
          </c:val>
        </c:ser>
        <c:dLbls>
          <c:showLegendKey val="0"/>
          <c:showVal val="0"/>
          <c:showCatName val="0"/>
          <c:showSerName val="0"/>
          <c:showPercent val="0"/>
          <c:showBubbleSize val="0"/>
        </c:dLbls>
        <c:gapWidth val="150"/>
        <c:overlap val="-27"/>
        <c:axId val="425636632"/>
        <c:axId val="425635456"/>
      </c:barChart>
      <c:catAx>
        <c:axId val="425636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5456"/>
        <c:crosses val="autoZero"/>
        <c:auto val="1"/>
        <c:lblAlgn val="ctr"/>
        <c:lblOffset val="100"/>
        <c:noMultiLvlLbl val="0"/>
      </c:catAx>
      <c:valAx>
        <c:axId val="425635456"/>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6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'OUTPUT│Outcomes Trends'!$D$76:$D$92</c:f>
              <c:strCache>
                <c:ptCount val="17"/>
                <c:pt idx="0">
                  <c:v>ANH</c:v>
                </c:pt>
                <c:pt idx="1">
                  <c:v>WSX</c:v>
                </c:pt>
                <c:pt idx="2">
                  <c:v>UU</c:v>
                </c:pt>
                <c:pt idx="3">
                  <c:v>NES</c:v>
                </c:pt>
                <c:pt idx="4">
                  <c:v>SSC</c:v>
                </c:pt>
                <c:pt idx="5">
                  <c:v>PRT</c:v>
                </c:pt>
                <c:pt idx="6">
                  <c:v>BRL</c:v>
                </c:pt>
                <c:pt idx="7">
                  <c:v>HDD</c:v>
                </c:pt>
                <c:pt idx="8">
                  <c:v>SEW</c:v>
                </c:pt>
                <c:pt idx="9">
                  <c:v>WSH</c:v>
                </c:pt>
                <c:pt idx="10">
                  <c:v>SES</c:v>
                </c:pt>
                <c:pt idx="11">
                  <c:v>SWB</c:v>
                </c:pt>
                <c:pt idx="12">
                  <c:v>YKY</c:v>
                </c:pt>
                <c:pt idx="13">
                  <c:v>AFW</c:v>
                </c:pt>
                <c:pt idx="14">
                  <c:v>SVE</c:v>
                </c:pt>
                <c:pt idx="15">
                  <c:v>SRN</c:v>
                </c:pt>
                <c:pt idx="16">
                  <c:v>TMS</c:v>
                </c:pt>
              </c:strCache>
            </c:strRef>
          </c:cat>
          <c:val>
            <c:numRef>
              <c:f>'OUTPUT│Outcomes Trends'!$E$76:$E$92</c:f>
              <c:numCache>
                <c:formatCode>#,##0.00;\-#,##0.00;\-</c:formatCode>
                <c:ptCount val="17"/>
                <c:pt idx="0">
                  <c:v>18.237772</c:v>
                </c:pt>
                <c:pt idx="1">
                  <c:v>7.1101896131620004</c:v>
                </c:pt>
                <c:pt idx="2">
                  <c:v>6.1266149999999993</c:v>
                </c:pt>
                <c:pt idx="3">
                  <c:v>5.5836249999999996</c:v>
                </c:pt>
                <c:pt idx="4">
                  <c:v>1.5750175610064048</c:v>
                </c:pt>
                <c:pt idx="5">
                  <c:v>1.4105999999999999</c:v>
                </c:pt>
                <c:pt idx="6">
                  <c:v>8.3903999999999992E-2</c:v>
                </c:pt>
                <c:pt idx="7">
                  <c:v>-0.27434239560000001</c:v>
                </c:pt>
                <c:pt idx="8">
                  <c:v>-0.49983749999999999</c:v>
                </c:pt>
                <c:pt idx="9">
                  <c:v>-0.97904400000000003</c:v>
                </c:pt>
                <c:pt idx="10">
                  <c:v>-2.2188350000000003</c:v>
                </c:pt>
                <c:pt idx="11">
                  <c:v>-2.9046070000000004</c:v>
                </c:pt>
                <c:pt idx="12">
                  <c:v>-5.5257157188099502</c:v>
                </c:pt>
                <c:pt idx="13">
                  <c:v>-11.191876000000001</c:v>
                </c:pt>
                <c:pt idx="14">
                  <c:v>-15.325003604400001</c:v>
                </c:pt>
                <c:pt idx="15">
                  <c:v>-32.351117500000001</c:v>
                </c:pt>
                <c:pt idx="16">
                  <c:v>-100.9746</c:v>
                </c:pt>
              </c:numCache>
            </c:numRef>
          </c:val>
          <c:extLst xmlns:c16r2="http://schemas.microsoft.com/office/drawing/2015/06/chart">
            <c:ext xmlns:c16="http://schemas.microsoft.com/office/drawing/2014/chart" uri="{C3380CC4-5D6E-409C-BE32-E72D297353CC}">
              <c16:uniqueId val="{00000002-3154-4933-B3AF-92C6D83554A9}"/>
            </c:ext>
          </c:extLst>
        </c:ser>
        <c:dLbls>
          <c:showLegendKey val="0"/>
          <c:showVal val="0"/>
          <c:showCatName val="0"/>
          <c:showSerName val="0"/>
          <c:showPercent val="0"/>
          <c:showBubbleSize val="0"/>
        </c:dLbls>
        <c:gapWidth val="100"/>
        <c:overlap val="-27"/>
        <c:axId val="425637024"/>
        <c:axId val="425637416"/>
      </c:barChart>
      <c:catAx>
        <c:axId val="4256370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7416"/>
        <c:crosses val="autoZero"/>
        <c:auto val="1"/>
        <c:lblAlgn val="ctr"/>
        <c:lblOffset val="100"/>
        <c:noMultiLvlLbl val="0"/>
      </c:catAx>
      <c:valAx>
        <c:axId val="425637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37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3154-4933-B3AF-92C6D83554A9}"/>
              </c:ext>
            </c:extLst>
          </c:dPt>
          <c:cat>
            <c:strRef>
              <c:f>'OUTPUT│Outcomes Trends'!$D$98:$D$115</c:f>
              <c:strCache>
                <c:ptCount val="18"/>
                <c:pt idx="0">
                  <c:v>PRT</c:v>
                </c:pt>
                <c:pt idx="1">
                  <c:v>SSC</c:v>
                </c:pt>
                <c:pt idx="2">
                  <c:v>ANH</c:v>
                </c:pt>
                <c:pt idx="3">
                  <c:v>WSX</c:v>
                </c:pt>
                <c:pt idx="4">
                  <c:v>NES</c:v>
                </c:pt>
                <c:pt idx="5">
                  <c:v>UU</c:v>
                </c:pt>
                <c:pt idx="6">
                  <c:v>BRL</c:v>
                </c:pt>
                <c:pt idx="7">
                  <c:v>WSH</c:v>
                </c:pt>
                <c:pt idx="8">
                  <c:v>SEW</c:v>
                </c:pt>
                <c:pt idx="9">
                  <c:v>SWB</c:v>
                </c:pt>
                <c:pt idx="10">
                  <c:v>YKY</c:v>
                </c:pt>
                <c:pt idx="11">
                  <c:v>SVE</c:v>
                </c:pt>
                <c:pt idx="12">
                  <c:v>HDD</c:v>
                </c:pt>
                <c:pt idx="13">
                  <c:v>SRN</c:v>
                </c:pt>
                <c:pt idx="14">
                  <c:v>TMS</c:v>
                </c:pt>
                <c:pt idx="15">
                  <c:v>SES</c:v>
                </c:pt>
                <c:pt idx="16">
                  <c:v>AFW</c:v>
                </c:pt>
                <c:pt idx="17">
                  <c:v>Industry</c:v>
                </c:pt>
              </c:strCache>
            </c:strRef>
          </c:cat>
          <c:val>
            <c:numRef>
              <c:f>'OUTPUT│Outcomes Trends'!$E$98:$E$115</c:f>
              <c:numCache>
                <c:formatCode>0.00%</c:formatCode>
                <c:ptCount val="18"/>
                <c:pt idx="0">
                  <c:v>3.0163804284923334E-2</c:v>
                </c:pt>
                <c:pt idx="1">
                  <c:v>1.3172446556985478E-2</c:v>
                </c:pt>
                <c:pt idx="2">
                  <c:v>7.2612919468671997E-3</c:v>
                </c:pt>
                <c:pt idx="3">
                  <c:v>7.0275969763490681E-3</c:v>
                </c:pt>
                <c:pt idx="4">
                  <c:v>4.087310543972638E-3</c:v>
                </c:pt>
                <c:pt idx="5">
                  <c:v>1.691526001382332E-3</c:v>
                </c:pt>
                <c:pt idx="6">
                  <c:v>5.1458117432442291E-4</c:v>
                </c:pt>
                <c:pt idx="7">
                  <c:v>-5.473541417928934E-4</c:v>
                </c:pt>
                <c:pt idx="8">
                  <c:v>-1.1774074279381702E-3</c:v>
                </c:pt>
                <c:pt idx="9">
                  <c:v>-2.5954685015025986E-3</c:v>
                </c:pt>
                <c:pt idx="10">
                  <c:v>-2.6292723996304895E-3</c:v>
                </c:pt>
                <c:pt idx="11">
                  <c:v>-5.3693376783583947E-3</c:v>
                </c:pt>
                <c:pt idx="12">
                  <c:v>-1.0252955829517406E-2</c:v>
                </c:pt>
                <c:pt idx="13">
                  <c:v>-2.0451403262359037E-2</c:v>
                </c:pt>
                <c:pt idx="14">
                  <c:v>-2.2718725897986167E-2</c:v>
                </c:pt>
                <c:pt idx="15">
                  <c:v>-2.7403693666850644E-2</c:v>
                </c:pt>
                <c:pt idx="16">
                  <c:v>-2.8802812715841956E-2</c:v>
                </c:pt>
                <c:pt idx="17">
                  <c:v>-5.5859713713850229E-3</c:v>
                </c:pt>
              </c:numCache>
            </c:numRef>
          </c:val>
          <c:extLst xmlns:c16r2="http://schemas.microsoft.com/office/drawing/2015/06/chart">
            <c:ext xmlns:c16="http://schemas.microsoft.com/office/drawing/2014/chart" uri="{C3380CC4-5D6E-409C-BE32-E72D297353CC}">
              <c16:uniqueId val="{00000002-3154-4933-B3AF-92C6D83554A9}"/>
            </c:ext>
          </c:extLst>
        </c:ser>
        <c:dLbls>
          <c:showLegendKey val="0"/>
          <c:showVal val="0"/>
          <c:showCatName val="0"/>
          <c:showSerName val="0"/>
          <c:showPercent val="0"/>
          <c:showBubbleSize val="0"/>
        </c:dLbls>
        <c:gapWidth val="100"/>
        <c:overlap val="-27"/>
        <c:axId val="528663840"/>
        <c:axId val="528665800"/>
      </c:barChart>
      <c:catAx>
        <c:axId val="528663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665800"/>
        <c:crosses val="autoZero"/>
        <c:auto val="1"/>
        <c:lblAlgn val="ctr"/>
        <c:lblOffset val="100"/>
        <c:noMultiLvlLbl val="0"/>
      </c:catAx>
      <c:valAx>
        <c:axId val="528665800"/>
        <c:scaling>
          <c:orientation val="minMax"/>
          <c:max val="3.0000000000000006E-2"/>
          <c:min val="-3.0000000000000006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6638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OUTPUT│Totex!$E$54</c:f>
              <c:strCache>
                <c:ptCount val="1"/>
                <c:pt idx="0">
                  <c:v>2015-16</c:v>
                </c:pt>
              </c:strCache>
            </c:strRef>
          </c:tx>
          <c:spPr>
            <a:solidFill>
              <a:schemeClr val="accent1">
                <a:tint val="54000"/>
              </a:schemeClr>
            </a:solidFill>
            <a:ln>
              <a:noFill/>
            </a:ln>
            <a:effectLst/>
          </c:spPr>
          <c:invertIfNegative val="0"/>
          <c:dPt>
            <c:idx val="17"/>
            <c:invertIfNegative val="0"/>
            <c:bubble3D val="0"/>
            <c:spPr>
              <a:solidFill>
                <a:srgbClr val="E4B5C9"/>
              </a:solidFill>
              <a:ln>
                <a:noFill/>
              </a:ln>
              <a:effectLst/>
            </c:spPr>
            <c:extLst xmlns:c16r2="http://schemas.microsoft.com/office/drawing/2015/06/chart">
              <c:ext xmlns:c16="http://schemas.microsoft.com/office/drawing/2014/chart" uri="{C3380CC4-5D6E-409C-BE32-E72D297353CC}">
                <c16:uniqueId val="{00000001-41A0-4672-848B-357B7A265EC4}"/>
              </c:ext>
            </c:extLst>
          </c:dPt>
          <c:cat>
            <c:strRef>
              <c:f>OUTPUT│Totex!$D$55:$D$72</c:f>
              <c:strCache>
                <c:ptCount val="18"/>
                <c:pt idx="0">
                  <c:v>SWB</c:v>
                </c:pt>
                <c:pt idx="1">
                  <c:v>WSX</c:v>
                </c:pt>
                <c:pt idx="2">
                  <c:v>ANH</c:v>
                </c:pt>
                <c:pt idx="3">
                  <c:v>NES</c:v>
                </c:pt>
                <c:pt idx="4">
                  <c:v>SEW</c:v>
                </c:pt>
                <c:pt idx="5">
                  <c:v>SES</c:v>
                </c:pt>
                <c:pt idx="6">
                  <c:v>SVE</c:v>
                </c:pt>
                <c:pt idx="7">
                  <c:v>SRN</c:v>
                </c:pt>
                <c:pt idx="8">
                  <c:v>PRT</c:v>
                </c:pt>
                <c:pt idx="9">
                  <c:v>SSC</c:v>
                </c:pt>
                <c:pt idx="10">
                  <c:v>BRL</c:v>
                </c:pt>
                <c:pt idx="11">
                  <c:v>HDD</c:v>
                </c:pt>
                <c:pt idx="12">
                  <c:v>AFW</c:v>
                </c:pt>
                <c:pt idx="13">
                  <c:v>YKY</c:v>
                </c:pt>
                <c:pt idx="14">
                  <c:v>WSH</c:v>
                </c:pt>
                <c:pt idx="15">
                  <c:v>UU</c:v>
                </c:pt>
                <c:pt idx="16">
                  <c:v>TMS</c:v>
                </c:pt>
                <c:pt idx="17">
                  <c:v>Industry</c:v>
                </c:pt>
              </c:strCache>
            </c:strRef>
          </c:cat>
          <c:val>
            <c:numRef>
              <c:f>OUTPUT│Totex!$E$55:$E$72</c:f>
              <c:numCache>
                <c:formatCode>0.00%;\-0.00%;\-</c:formatCode>
                <c:ptCount val="18"/>
                <c:pt idx="0">
                  <c:v>-0.23242789134696162</c:v>
                </c:pt>
                <c:pt idx="1">
                  <c:v>-9.5831869738750533E-2</c:v>
                </c:pt>
                <c:pt idx="2">
                  <c:v>-7.7840044930763852E-2</c:v>
                </c:pt>
                <c:pt idx="3">
                  <c:v>-0.11263159716663115</c:v>
                </c:pt>
                <c:pt idx="4">
                  <c:v>-3.1169709263015637E-2</c:v>
                </c:pt>
                <c:pt idx="5">
                  <c:v>-5.0291857738159328E-2</c:v>
                </c:pt>
                <c:pt idx="6">
                  <c:v>-1.8955136998848199E-2</c:v>
                </c:pt>
                <c:pt idx="7">
                  <c:v>-0.20534779090840971</c:v>
                </c:pt>
                <c:pt idx="8">
                  <c:v>-6.7885117493472494E-2</c:v>
                </c:pt>
                <c:pt idx="9">
                  <c:v>-5.4677817955678505E-2</c:v>
                </c:pt>
                <c:pt idx="10">
                  <c:v>-0.26305858611353089</c:v>
                </c:pt>
                <c:pt idx="11">
                  <c:v>-0.24360924390363528</c:v>
                </c:pt>
                <c:pt idx="12">
                  <c:v>-0.10541356492969364</c:v>
                </c:pt>
                <c:pt idx="13">
                  <c:v>-0.21966610230647537</c:v>
                </c:pt>
                <c:pt idx="14">
                  <c:v>-0.18255046289270013</c:v>
                </c:pt>
                <c:pt idx="15">
                  <c:v>0.15128554430412489</c:v>
                </c:pt>
                <c:pt idx="16">
                  <c:v>3.7524214574987287E-2</c:v>
                </c:pt>
                <c:pt idx="17">
                  <c:v>-5.7912574733999328E-2</c:v>
                </c:pt>
              </c:numCache>
            </c:numRef>
          </c:val>
          <c:extLst xmlns:c16r2="http://schemas.microsoft.com/office/drawing/2015/06/chart">
            <c:ext xmlns:c16="http://schemas.microsoft.com/office/drawing/2014/chart" uri="{C3380CC4-5D6E-409C-BE32-E72D297353CC}">
              <c16:uniqueId val="{00000002-41A0-4672-848B-357B7A265EC4}"/>
            </c:ext>
          </c:extLst>
        </c:ser>
        <c:ser>
          <c:idx val="1"/>
          <c:order val="1"/>
          <c:tx>
            <c:strRef>
              <c:f>OUTPUT│Totex!$F$54</c:f>
              <c:strCache>
                <c:ptCount val="1"/>
                <c:pt idx="0">
                  <c:v>2016-17</c:v>
                </c:pt>
              </c:strCache>
            </c:strRef>
          </c:tx>
          <c:spPr>
            <a:solidFill>
              <a:schemeClr val="accent1">
                <a:tint val="77000"/>
              </a:schemeClr>
            </a:solidFill>
            <a:ln>
              <a:noFill/>
            </a:ln>
            <a:effectLst/>
          </c:spPr>
          <c:invertIfNegative val="0"/>
          <c:dPt>
            <c:idx val="17"/>
            <c:invertIfNegative val="0"/>
            <c:bubble3D val="0"/>
            <c:spPr>
              <a:solidFill>
                <a:srgbClr val="D884AB"/>
              </a:solidFill>
              <a:ln>
                <a:noFill/>
              </a:ln>
              <a:effectLst/>
            </c:spPr>
            <c:extLst xmlns:c16r2="http://schemas.microsoft.com/office/drawing/2015/06/chart">
              <c:ext xmlns:c16="http://schemas.microsoft.com/office/drawing/2014/chart" uri="{C3380CC4-5D6E-409C-BE32-E72D297353CC}">
                <c16:uniqueId val="{00000004-41A0-4672-848B-357B7A265EC4}"/>
              </c:ext>
            </c:extLst>
          </c:dPt>
          <c:cat>
            <c:strRef>
              <c:f>OUTPUT│Totex!$D$55:$D$72</c:f>
              <c:strCache>
                <c:ptCount val="18"/>
                <c:pt idx="0">
                  <c:v>SWB</c:v>
                </c:pt>
                <c:pt idx="1">
                  <c:v>WSX</c:v>
                </c:pt>
                <c:pt idx="2">
                  <c:v>ANH</c:v>
                </c:pt>
                <c:pt idx="3">
                  <c:v>NES</c:v>
                </c:pt>
                <c:pt idx="4">
                  <c:v>SEW</c:v>
                </c:pt>
                <c:pt idx="5">
                  <c:v>SES</c:v>
                </c:pt>
                <c:pt idx="6">
                  <c:v>SVE</c:v>
                </c:pt>
                <c:pt idx="7">
                  <c:v>SRN</c:v>
                </c:pt>
                <c:pt idx="8">
                  <c:v>PRT</c:v>
                </c:pt>
                <c:pt idx="9">
                  <c:v>SSC</c:v>
                </c:pt>
                <c:pt idx="10">
                  <c:v>BRL</c:v>
                </c:pt>
                <c:pt idx="11">
                  <c:v>HDD</c:v>
                </c:pt>
                <c:pt idx="12">
                  <c:v>AFW</c:v>
                </c:pt>
                <c:pt idx="13">
                  <c:v>YKY</c:v>
                </c:pt>
                <c:pt idx="14">
                  <c:v>WSH</c:v>
                </c:pt>
                <c:pt idx="15">
                  <c:v>UU</c:v>
                </c:pt>
                <c:pt idx="16">
                  <c:v>TMS</c:v>
                </c:pt>
                <c:pt idx="17">
                  <c:v>Industry</c:v>
                </c:pt>
              </c:strCache>
            </c:strRef>
          </c:cat>
          <c:val>
            <c:numRef>
              <c:f>OUTPUT│Totex!$F$55:$F$72</c:f>
              <c:numCache>
                <c:formatCode>0.00%;\-0.00%;\-</c:formatCode>
                <c:ptCount val="18"/>
                <c:pt idx="0">
                  <c:v>-0.18058785480504347</c:v>
                </c:pt>
                <c:pt idx="1">
                  <c:v>-0.11790044296868073</c:v>
                </c:pt>
                <c:pt idx="2">
                  <c:v>-0.15177378229463354</c:v>
                </c:pt>
                <c:pt idx="3">
                  <c:v>-0.14294916836126709</c:v>
                </c:pt>
                <c:pt idx="4">
                  <c:v>-5.772547728768937E-2</c:v>
                </c:pt>
                <c:pt idx="5">
                  <c:v>-4.9900811048916013E-2</c:v>
                </c:pt>
                <c:pt idx="6">
                  <c:v>-7.3415264431931637E-2</c:v>
                </c:pt>
                <c:pt idx="7">
                  <c:v>-0.18843856737571726</c:v>
                </c:pt>
                <c:pt idx="8">
                  <c:v>-3.0569666182873649E-2</c:v>
                </c:pt>
                <c:pt idx="9">
                  <c:v>-3.691949225013956E-2</c:v>
                </c:pt>
                <c:pt idx="10">
                  <c:v>-0.18452327707799407</c:v>
                </c:pt>
                <c:pt idx="11">
                  <c:v>-0.22900002215771839</c:v>
                </c:pt>
                <c:pt idx="12">
                  <c:v>-6.1664266611808204E-2</c:v>
                </c:pt>
                <c:pt idx="13">
                  <c:v>-0.12802254314899617</c:v>
                </c:pt>
                <c:pt idx="14">
                  <c:v>-7.3854803940373567E-2</c:v>
                </c:pt>
                <c:pt idx="15">
                  <c:v>0.13149115973681241</c:v>
                </c:pt>
                <c:pt idx="16">
                  <c:v>4.2708379882725314E-2</c:v>
                </c:pt>
                <c:pt idx="17">
                  <c:v>-5.6964817973794366E-2</c:v>
                </c:pt>
              </c:numCache>
            </c:numRef>
          </c:val>
          <c:extLst xmlns:c16r2="http://schemas.microsoft.com/office/drawing/2015/06/chart">
            <c:ext xmlns:c16="http://schemas.microsoft.com/office/drawing/2014/chart" uri="{C3380CC4-5D6E-409C-BE32-E72D297353CC}">
              <c16:uniqueId val="{00000005-41A0-4672-848B-357B7A265EC4}"/>
            </c:ext>
          </c:extLst>
        </c:ser>
        <c:ser>
          <c:idx val="2"/>
          <c:order val="2"/>
          <c:tx>
            <c:strRef>
              <c:f>OUTPUT│Totex!$G$54</c:f>
              <c:strCache>
                <c:ptCount val="1"/>
                <c:pt idx="0">
                  <c:v>2017-18</c:v>
                </c:pt>
              </c:strCache>
            </c:strRef>
          </c:tx>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7-41A0-4672-848B-357B7A265EC4}"/>
              </c:ext>
            </c:extLst>
          </c:dPt>
          <c:cat>
            <c:strRef>
              <c:f>OUTPUT│Totex!$D$55:$D$72</c:f>
              <c:strCache>
                <c:ptCount val="18"/>
                <c:pt idx="0">
                  <c:v>SWB</c:v>
                </c:pt>
                <c:pt idx="1">
                  <c:v>WSX</c:v>
                </c:pt>
                <c:pt idx="2">
                  <c:v>ANH</c:v>
                </c:pt>
                <c:pt idx="3">
                  <c:v>NES</c:v>
                </c:pt>
                <c:pt idx="4">
                  <c:v>SEW</c:v>
                </c:pt>
                <c:pt idx="5">
                  <c:v>SES</c:v>
                </c:pt>
                <c:pt idx="6">
                  <c:v>SVE</c:v>
                </c:pt>
                <c:pt idx="7">
                  <c:v>SRN</c:v>
                </c:pt>
                <c:pt idx="8">
                  <c:v>PRT</c:v>
                </c:pt>
                <c:pt idx="9">
                  <c:v>SSC</c:v>
                </c:pt>
                <c:pt idx="10">
                  <c:v>BRL</c:v>
                </c:pt>
                <c:pt idx="11">
                  <c:v>HDD</c:v>
                </c:pt>
                <c:pt idx="12">
                  <c:v>AFW</c:v>
                </c:pt>
                <c:pt idx="13">
                  <c:v>YKY</c:v>
                </c:pt>
                <c:pt idx="14">
                  <c:v>WSH</c:v>
                </c:pt>
                <c:pt idx="15">
                  <c:v>UU</c:v>
                </c:pt>
                <c:pt idx="16">
                  <c:v>TMS</c:v>
                </c:pt>
                <c:pt idx="17">
                  <c:v>Industry</c:v>
                </c:pt>
              </c:strCache>
            </c:strRef>
          </c:cat>
          <c:val>
            <c:numRef>
              <c:f>OUTPUT│Totex!$G$55:$G$72</c:f>
              <c:numCache>
                <c:formatCode>0.00%;\-0.00%;\-</c:formatCode>
                <c:ptCount val="18"/>
                <c:pt idx="0">
                  <c:v>-0.16881156798189259</c:v>
                </c:pt>
                <c:pt idx="1">
                  <c:v>-0.1116258311500082</c:v>
                </c:pt>
                <c:pt idx="2">
                  <c:v>-0.11373577697800423</c:v>
                </c:pt>
                <c:pt idx="3">
                  <c:v>-0.12874209749880786</c:v>
                </c:pt>
                <c:pt idx="4">
                  <c:v>-7.3888770509269092E-2</c:v>
                </c:pt>
                <c:pt idx="5">
                  <c:v>-5.6307178186461158E-2</c:v>
                </c:pt>
                <c:pt idx="6">
                  <c:v>-7.7625059801299592E-2</c:v>
                </c:pt>
                <c:pt idx="7">
                  <c:v>-0.12969767683273678</c:v>
                </c:pt>
                <c:pt idx="8">
                  <c:v>-9.5752006458659805E-2</c:v>
                </c:pt>
                <c:pt idx="9">
                  <c:v>-6.7620093532759721E-3</c:v>
                </c:pt>
                <c:pt idx="10">
                  <c:v>-9.4745202049314095E-2</c:v>
                </c:pt>
                <c:pt idx="11">
                  <c:v>-0.10769277081232401</c:v>
                </c:pt>
                <c:pt idx="12">
                  <c:v>-2.655355097365401E-2</c:v>
                </c:pt>
                <c:pt idx="13">
                  <c:v>-7.4378508035500085E-2</c:v>
                </c:pt>
                <c:pt idx="14">
                  <c:v>-9.323780736365259E-3</c:v>
                </c:pt>
                <c:pt idx="15">
                  <c:v>9.8226529223528716E-2</c:v>
                </c:pt>
                <c:pt idx="16">
                  <c:v>4.1916291207906652E-2</c:v>
                </c:pt>
                <c:pt idx="17">
                  <c:v>-4.1272393721018291E-2</c:v>
                </c:pt>
              </c:numCache>
            </c:numRef>
          </c:val>
          <c:extLst xmlns:c16r2="http://schemas.microsoft.com/office/drawing/2015/06/chart">
            <c:ext xmlns:c16="http://schemas.microsoft.com/office/drawing/2014/chart" uri="{C3380CC4-5D6E-409C-BE32-E72D297353CC}">
              <c16:uniqueId val="{00000008-41A0-4672-848B-357B7A265EC4}"/>
            </c:ext>
          </c:extLst>
        </c:ser>
        <c:ser>
          <c:idx val="3"/>
          <c:order val="3"/>
          <c:tx>
            <c:strRef>
              <c:f>OUTPUT│Totex!$H$54</c:f>
              <c:strCache>
                <c:ptCount val="1"/>
                <c:pt idx="0">
                  <c:v>2018-19</c:v>
                </c:pt>
              </c:strCache>
            </c:strRef>
          </c:tx>
          <c:spPr>
            <a:solidFill>
              <a:schemeClr val="accent1">
                <a:shade val="76000"/>
              </a:schemeClr>
            </a:solidFill>
            <a:ln>
              <a:noFill/>
            </a:ln>
            <a:effectLst/>
          </c:spPr>
          <c:invertIfNegative val="0"/>
          <c:dPt>
            <c:idx val="17"/>
            <c:invertIfNegative val="0"/>
            <c:bubble3D val="0"/>
            <c:spPr>
              <a:solidFill>
                <a:srgbClr val="B30073"/>
              </a:solidFill>
              <a:ln>
                <a:noFill/>
              </a:ln>
              <a:effectLst/>
            </c:spPr>
            <c:extLst xmlns:c16r2="http://schemas.microsoft.com/office/drawing/2015/06/chart">
              <c:ext xmlns:c16="http://schemas.microsoft.com/office/drawing/2014/chart" uri="{C3380CC4-5D6E-409C-BE32-E72D297353CC}">
                <c16:uniqueId val="{0000000A-41A0-4672-848B-357B7A265EC4}"/>
              </c:ext>
            </c:extLst>
          </c:dPt>
          <c:cat>
            <c:strRef>
              <c:f>OUTPUT│Totex!$D$55:$D$72</c:f>
              <c:strCache>
                <c:ptCount val="18"/>
                <c:pt idx="0">
                  <c:v>SWB</c:v>
                </c:pt>
                <c:pt idx="1">
                  <c:v>WSX</c:v>
                </c:pt>
                <c:pt idx="2">
                  <c:v>ANH</c:v>
                </c:pt>
                <c:pt idx="3">
                  <c:v>NES</c:v>
                </c:pt>
                <c:pt idx="4">
                  <c:v>SEW</c:v>
                </c:pt>
                <c:pt idx="5">
                  <c:v>SES</c:v>
                </c:pt>
                <c:pt idx="6">
                  <c:v>SVE</c:v>
                </c:pt>
                <c:pt idx="7">
                  <c:v>SRN</c:v>
                </c:pt>
                <c:pt idx="8">
                  <c:v>PRT</c:v>
                </c:pt>
                <c:pt idx="9">
                  <c:v>SSC</c:v>
                </c:pt>
                <c:pt idx="10">
                  <c:v>BRL</c:v>
                </c:pt>
                <c:pt idx="11">
                  <c:v>HDD</c:v>
                </c:pt>
                <c:pt idx="12">
                  <c:v>AFW</c:v>
                </c:pt>
                <c:pt idx="13">
                  <c:v>YKY</c:v>
                </c:pt>
                <c:pt idx="14">
                  <c:v>WSH</c:v>
                </c:pt>
                <c:pt idx="15">
                  <c:v>UU</c:v>
                </c:pt>
                <c:pt idx="16">
                  <c:v>TMS</c:v>
                </c:pt>
                <c:pt idx="17">
                  <c:v>Industry</c:v>
                </c:pt>
              </c:strCache>
            </c:strRef>
          </c:cat>
          <c:val>
            <c:numRef>
              <c:f>OUTPUT│Totex!$H$55:$H$72</c:f>
              <c:numCache>
                <c:formatCode>0.00%;\-0.00%;\-</c:formatCode>
                <c:ptCount val="18"/>
                <c:pt idx="0">
                  <c:v>-0.16108741233461063</c:v>
                </c:pt>
                <c:pt idx="1">
                  <c:v>-9.9820690770586362E-2</c:v>
                </c:pt>
                <c:pt idx="2">
                  <c:v>-9.6219081319757385E-2</c:v>
                </c:pt>
                <c:pt idx="3">
                  <c:v>-9.0438646902882142E-2</c:v>
                </c:pt>
                <c:pt idx="4">
                  <c:v>-6.2521088651917758E-2</c:v>
                </c:pt>
                <c:pt idx="5">
                  <c:v>-3.2654902745304845E-2</c:v>
                </c:pt>
                <c:pt idx="6">
                  <c:v>-4.8201963435789572E-2</c:v>
                </c:pt>
                <c:pt idx="7">
                  <c:v>-7.6862866431460994E-2</c:v>
                </c:pt>
                <c:pt idx="8">
                  <c:v>-3.8438449201215037E-2</c:v>
                </c:pt>
                <c:pt idx="9">
                  <c:v>4.2542211614441773E-3</c:v>
                </c:pt>
                <c:pt idx="10">
                  <c:v>-4.2356191509909283E-2</c:v>
                </c:pt>
                <c:pt idx="11">
                  <c:v>-3.0323244428867028E-2</c:v>
                </c:pt>
                <c:pt idx="12">
                  <c:v>-2.6393146865164286E-3</c:v>
                </c:pt>
                <c:pt idx="13">
                  <c:v>-2.5636009393322103E-4</c:v>
                </c:pt>
                <c:pt idx="14">
                  <c:v>4.2841076603991959E-2</c:v>
                </c:pt>
                <c:pt idx="15">
                  <c:v>7.3268047251425536E-2</c:v>
                </c:pt>
                <c:pt idx="16">
                  <c:v>6.3487531339175687E-2</c:v>
                </c:pt>
                <c:pt idx="17">
                  <c:v>-1.5982000278121789E-2</c:v>
                </c:pt>
              </c:numCache>
            </c:numRef>
          </c:val>
          <c:extLst xmlns:c16r2="http://schemas.microsoft.com/office/drawing/2015/06/chart">
            <c:ext xmlns:c16="http://schemas.microsoft.com/office/drawing/2014/chart" uri="{C3380CC4-5D6E-409C-BE32-E72D297353CC}">
              <c16:uniqueId val="{0000000B-41A0-4672-848B-357B7A265EC4}"/>
            </c:ext>
          </c:extLst>
        </c:ser>
        <c:ser>
          <c:idx val="4"/>
          <c:order val="4"/>
          <c:tx>
            <c:strRef>
              <c:f>OUTPUT│Totex!$I$54</c:f>
              <c:strCache>
                <c:ptCount val="1"/>
                <c:pt idx="0">
                  <c:v>2019-20</c:v>
                </c:pt>
              </c:strCache>
            </c:strRef>
          </c:tx>
          <c:spPr>
            <a:solidFill>
              <a:schemeClr val="accent1">
                <a:shade val="53000"/>
              </a:schemeClr>
            </a:solidFill>
            <a:ln>
              <a:noFill/>
            </a:ln>
            <a:effectLst/>
          </c:spPr>
          <c:invertIfNegative val="0"/>
          <c:dPt>
            <c:idx val="17"/>
            <c:invertIfNegative val="0"/>
            <c:bubble3D val="0"/>
            <c:spPr>
              <a:solidFill>
                <a:srgbClr val="980061"/>
              </a:solidFill>
              <a:ln>
                <a:noFill/>
              </a:ln>
              <a:effectLst/>
            </c:spPr>
          </c:dPt>
          <c:cat>
            <c:strRef>
              <c:f>OUTPUT│Totex!$D$55:$D$72</c:f>
              <c:strCache>
                <c:ptCount val="18"/>
                <c:pt idx="0">
                  <c:v>SWB</c:v>
                </c:pt>
                <c:pt idx="1">
                  <c:v>WSX</c:v>
                </c:pt>
                <c:pt idx="2">
                  <c:v>ANH</c:v>
                </c:pt>
                <c:pt idx="3">
                  <c:v>NES</c:v>
                </c:pt>
                <c:pt idx="4">
                  <c:v>SEW</c:v>
                </c:pt>
                <c:pt idx="5">
                  <c:v>SES</c:v>
                </c:pt>
                <c:pt idx="6">
                  <c:v>SVE</c:v>
                </c:pt>
                <c:pt idx="7">
                  <c:v>SRN</c:v>
                </c:pt>
                <c:pt idx="8">
                  <c:v>PRT</c:v>
                </c:pt>
                <c:pt idx="9">
                  <c:v>SSC</c:v>
                </c:pt>
                <c:pt idx="10">
                  <c:v>BRL</c:v>
                </c:pt>
                <c:pt idx="11">
                  <c:v>HDD</c:v>
                </c:pt>
                <c:pt idx="12">
                  <c:v>AFW</c:v>
                </c:pt>
                <c:pt idx="13">
                  <c:v>YKY</c:v>
                </c:pt>
                <c:pt idx="14">
                  <c:v>WSH</c:v>
                </c:pt>
                <c:pt idx="15">
                  <c:v>UU</c:v>
                </c:pt>
                <c:pt idx="16">
                  <c:v>TMS</c:v>
                </c:pt>
                <c:pt idx="17">
                  <c:v>Industry</c:v>
                </c:pt>
              </c:strCache>
            </c:strRef>
          </c:cat>
          <c:val>
            <c:numRef>
              <c:f>OUTPUT│Totex!$I$55:$I$72</c:f>
              <c:numCache>
                <c:formatCode>0.00%;\-0.00%;\-</c:formatCode>
                <c:ptCount val="18"/>
                <c:pt idx="0">
                  <c:v>-0.15519822356762086</c:v>
                </c:pt>
                <c:pt idx="1">
                  <c:v>-8.2689683556801494E-2</c:v>
                </c:pt>
                <c:pt idx="2">
                  <c:v>-8.1512002909417319E-2</c:v>
                </c:pt>
                <c:pt idx="3">
                  <c:v>-6.3580044337989985E-2</c:v>
                </c:pt>
                <c:pt idx="4">
                  <c:v>-4.4414831981460109E-2</c:v>
                </c:pt>
                <c:pt idx="5">
                  <c:v>-5.645022270927033E-3</c:v>
                </c:pt>
                <c:pt idx="6">
                  <c:v>-5.3535740543229002E-3</c:v>
                </c:pt>
                <c:pt idx="7">
                  <c:v>-4.9242608849277151E-3</c:v>
                </c:pt>
                <c:pt idx="8">
                  <c:v>-1.2854310551427591E-3</c:v>
                </c:pt>
                <c:pt idx="9">
                  <c:v>8.0107913111338788E-3</c:v>
                </c:pt>
                <c:pt idx="10">
                  <c:v>1.0891780258708531E-2</c:v>
                </c:pt>
                <c:pt idx="11">
                  <c:v>1.8414753080946877E-2</c:v>
                </c:pt>
                <c:pt idx="12">
                  <c:v>2.2111264649892368E-2</c:v>
                </c:pt>
                <c:pt idx="13">
                  <c:v>3.1219434075794555E-2</c:v>
                </c:pt>
                <c:pt idx="14">
                  <c:v>6.1323993472443591E-2</c:v>
                </c:pt>
                <c:pt idx="15">
                  <c:v>6.668970205130674E-2</c:v>
                </c:pt>
                <c:pt idx="16">
                  <c:v>8.8599241427931769E-2</c:v>
                </c:pt>
                <c:pt idx="17">
                  <c:v>8.3880953845943875E-3</c:v>
                </c:pt>
              </c:numCache>
            </c:numRef>
          </c:val>
        </c:ser>
        <c:dLbls>
          <c:showLegendKey val="0"/>
          <c:showVal val="0"/>
          <c:showCatName val="0"/>
          <c:showSerName val="0"/>
          <c:showPercent val="0"/>
          <c:showBubbleSize val="0"/>
        </c:dLbls>
        <c:gapWidth val="150"/>
        <c:overlap val="-25"/>
        <c:axId val="418396992"/>
        <c:axId val="418401304"/>
      </c:barChart>
      <c:catAx>
        <c:axId val="4183969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401304"/>
        <c:crosses val="autoZero"/>
        <c:auto val="1"/>
        <c:lblAlgn val="ctr"/>
        <c:lblOffset val="100"/>
        <c:noMultiLvlLbl val="0"/>
      </c:catAx>
      <c:valAx>
        <c:axId val="418401304"/>
        <c:scaling>
          <c:orientation val="minMax"/>
          <c:max val="0.15000000000000002"/>
          <c:min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396992"/>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CALCS│Outcomes!$C$10</c:f>
              <c:strCache>
                <c:ptCount val="1"/>
                <c:pt idx="0">
                  <c:v>ANH</c:v>
                </c:pt>
              </c:strCache>
            </c:strRef>
          </c:tx>
          <c:spPr>
            <a:solidFill>
              <a:schemeClr val="tx2"/>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CALCS│Outcomes!$E$10:$L$10</c:f>
              <c:numCache>
                <c:formatCode>#,##0.00;\-#,##0.00;\-</c:formatCode>
                <c:ptCount val="8"/>
                <c:pt idx="0">
                  <c:v>189.14430877213201</c:v>
                </c:pt>
                <c:pt idx="1">
                  <c:v>192.720797385862</c:v>
                </c:pt>
                <c:pt idx="2">
                  <c:v>191.99886023438</c:v>
                </c:pt>
                <c:pt idx="3">
                  <c:v>182.64590090873199</c:v>
                </c:pt>
                <c:pt idx="4">
                  <c:v>184.716123345873</c:v>
                </c:pt>
                <c:pt idx="5">
                  <c:v>182.66</c:v>
                </c:pt>
                <c:pt idx="6">
                  <c:v>191.24007283985699</c:v>
                </c:pt>
                <c:pt idx="7">
                  <c:v>182.39</c:v>
                </c:pt>
              </c:numCache>
            </c:numRef>
          </c:val>
          <c:extLst xmlns:c16r2="http://schemas.microsoft.com/office/drawing/2015/06/chart">
            <c:ext xmlns:c16="http://schemas.microsoft.com/office/drawing/2014/chart" uri="{C3380CC4-5D6E-409C-BE32-E72D297353CC}">
              <c16:uniqueId val="{00000000-0F0C-4D32-A3FF-163409A13C5E}"/>
            </c:ext>
          </c:extLst>
        </c:ser>
        <c:ser>
          <c:idx val="1"/>
          <c:order val="1"/>
          <c:tx>
            <c:strRef>
              <c:f>CALCS│Outcomes!$C$11</c:f>
              <c:strCache>
                <c:ptCount val="1"/>
                <c:pt idx="0">
                  <c:v>WSH</c:v>
                </c:pt>
              </c:strCache>
            </c:strRef>
          </c:tx>
          <c:spPr>
            <a:solidFill>
              <a:schemeClr val="accent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CALCS│Outcomes!$E$11:$L$11</c:f>
              <c:numCache>
                <c:formatCode>#,##0.00;\-#,##0.00;\-</c:formatCode>
                <c:ptCount val="8"/>
                <c:pt idx="0">
                  <c:v>184.8</c:v>
                </c:pt>
                <c:pt idx="1">
                  <c:v>183.75</c:v>
                </c:pt>
                <c:pt idx="2">
                  <c:v>179.52</c:v>
                </c:pt>
                <c:pt idx="3">
                  <c:v>179.86</c:v>
                </c:pt>
                <c:pt idx="4">
                  <c:v>175.43</c:v>
                </c:pt>
                <c:pt idx="5">
                  <c:v>172.84899999999999</c:v>
                </c:pt>
                <c:pt idx="6">
                  <c:v>169.54</c:v>
                </c:pt>
                <c:pt idx="7">
                  <c:v>167.95</c:v>
                </c:pt>
              </c:numCache>
            </c:numRef>
          </c:val>
          <c:extLst xmlns:c16r2="http://schemas.microsoft.com/office/drawing/2015/06/chart">
            <c:ext xmlns:c16="http://schemas.microsoft.com/office/drawing/2014/chart" uri="{C3380CC4-5D6E-409C-BE32-E72D297353CC}">
              <c16:uniqueId val="{00000001-0F0C-4D32-A3FF-163409A13C5E}"/>
            </c:ext>
          </c:extLst>
        </c:ser>
        <c:ser>
          <c:idx val="2"/>
          <c:order val="2"/>
          <c:tx>
            <c:strRef>
              <c:f>CALCS│Outcomes!$C$12</c:f>
              <c:strCache>
                <c:ptCount val="1"/>
                <c:pt idx="0">
                  <c:v>HDD</c:v>
                </c:pt>
              </c:strCache>
            </c:strRef>
          </c:tx>
          <c:spPr>
            <a:solidFill>
              <a:schemeClr val="tx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CALCS│Outcomes!$E$12:$L$12</c:f>
              <c:numCache>
                <c:formatCode>#,##0.00;\-#,##0.00;\-</c:formatCode>
                <c:ptCount val="8"/>
                <c:pt idx="0">
                  <c:v>14.132034121401718</c:v>
                </c:pt>
                <c:pt idx="1">
                  <c:v>14.163946763937787</c:v>
                </c:pt>
                <c:pt idx="2">
                  <c:v>14.226090648011846</c:v>
                </c:pt>
                <c:pt idx="3">
                  <c:v>11.652000000000001</c:v>
                </c:pt>
                <c:pt idx="4">
                  <c:v>14.37</c:v>
                </c:pt>
                <c:pt idx="5">
                  <c:v>14.619861664762418</c:v>
                </c:pt>
                <c:pt idx="6">
                  <c:v>15.271547781797601</c:v>
                </c:pt>
                <c:pt idx="7">
                  <c:v>12.758414111069101</c:v>
                </c:pt>
              </c:numCache>
            </c:numRef>
          </c:val>
          <c:extLst xmlns:c16r2="http://schemas.microsoft.com/office/drawing/2015/06/chart">
            <c:ext xmlns:c16="http://schemas.microsoft.com/office/drawing/2014/chart" uri="{C3380CC4-5D6E-409C-BE32-E72D297353CC}">
              <c16:uniqueId val="{00000002-0F0C-4D32-A3FF-163409A13C5E}"/>
            </c:ext>
          </c:extLst>
        </c:ser>
        <c:ser>
          <c:idx val="3"/>
          <c:order val="3"/>
          <c:tx>
            <c:strRef>
              <c:f>CALCS│Outcomes!$C$13</c:f>
              <c:strCache>
                <c:ptCount val="1"/>
                <c:pt idx="0">
                  <c:v>NES</c:v>
                </c:pt>
              </c:strCache>
            </c:strRef>
          </c:tx>
          <c:spPr>
            <a:solidFill>
              <a:srgbClr val="7FBBE4"/>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CALCS│Outcomes!$E$13:$L$13</c:f>
              <c:numCache>
                <c:formatCode>#,##0.00;\-#,##0.00;\-</c:formatCode>
                <c:ptCount val="8"/>
                <c:pt idx="0">
                  <c:v>189.88</c:v>
                </c:pt>
                <c:pt idx="1">
                  <c:v>192.42</c:v>
                </c:pt>
                <c:pt idx="2">
                  <c:v>197.63</c:v>
                </c:pt>
                <c:pt idx="3">
                  <c:v>197.08</c:v>
                </c:pt>
                <c:pt idx="4">
                  <c:v>201.9</c:v>
                </c:pt>
                <c:pt idx="5">
                  <c:v>203.21</c:v>
                </c:pt>
                <c:pt idx="6">
                  <c:v>200.44</c:v>
                </c:pt>
                <c:pt idx="7">
                  <c:v>198.05</c:v>
                </c:pt>
              </c:numCache>
            </c:numRef>
          </c:val>
          <c:extLst xmlns:c16r2="http://schemas.microsoft.com/office/drawing/2015/06/chart">
            <c:ext xmlns:c16="http://schemas.microsoft.com/office/drawing/2014/chart" uri="{C3380CC4-5D6E-409C-BE32-E72D297353CC}">
              <c16:uniqueId val="{00000003-0F0C-4D32-A3FF-163409A13C5E}"/>
            </c:ext>
          </c:extLst>
        </c:ser>
        <c:ser>
          <c:idx val="4"/>
          <c:order val="4"/>
          <c:tx>
            <c:strRef>
              <c:f>CALCS│Outcomes!$C$14</c:f>
              <c:strCache>
                <c:ptCount val="1"/>
                <c:pt idx="0">
                  <c:v>SVE</c:v>
                </c:pt>
              </c:strCache>
            </c:strRef>
          </c:tx>
          <c:spPr>
            <a:solidFill>
              <a:srgbClr val="BFDDF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CALCS│Outcomes!$E$14:$L$14</c:f>
              <c:numCache>
                <c:formatCode>#,##0.00;\-#,##0.00;\-</c:formatCode>
                <c:ptCount val="8"/>
                <c:pt idx="0">
                  <c:v>436.27311311579626</c:v>
                </c:pt>
                <c:pt idx="1">
                  <c:v>437.25829527622415</c:v>
                </c:pt>
                <c:pt idx="2">
                  <c:v>439.17675269949331</c:v>
                </c:pt>
                <c:pt idx="3">
                  <c:v>432.18</c:v>
                </c:pt>
                <c:pt idx="4">
                  <c:v>430.5</c:v>
                </c:pt>
                <c:pt idx="5">
                  <c:v>439.21999999999997</c:v>
                </c:pt>
                <c:pt idx="6">
                  <c:v>424.36652485424298</c:v>
                </c:pt>
                <c:pt idx="7">
                  <c:v>404.53421899477303</c:v>
                </c:pt>
              </c:numCache>
            </c:numRef>
          </c:val>
          <c:extLst xmlns:c16r2="http://schemas.microsoft.com/office/drawing/2015/06/chart">
            <c:ext xmlns:c16="http://schemas.microsoft.com/office/drawing/2014/chart" uri="{C3380CC4-5D6E-409C-BE32-E72D297353CC}">
              <c16:uniqueId val="{00000004-0F0C-4D32-A3FF-163409A13C5E}"/>
            </c:ext>
          </c:extLst>
        </c:ser>
        <c:ser>
          <c:idx val="5"/>
          <c:order val="5"/>
          <c:tx>
            <c:strRef>
              <c:f>CALCS│Outcomes!$C$15</c:f>
              <c:strCache>
                <c:ptCount val="1"/>
                <c:pt idx="0">
                  <c:v>SWB</c:v>
                </c:pt>
              </c:strCache>
            </c:strRef>
          </c:tx>
          <c:spPr>
            <a:solidFill>
              <a:schemeClr val="accent5"/>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CALCS│Outcomes!$E$15:$L$15</c:f>
              <c:numCache>
                <c:formatCode>#,##0.00;\-#,##0.00;\-</c:formatCode>
                <c:ptCount val="8"/>
                <c:pt idx="0">
                  <c:v>105.1026538608006</c:v>
                </c:pt>
                <c:pt idx="1">
                  <c:v>104.99</c:v>
                </c:pt>
                <c:pt idx="2">
                  <c:v>105.2396126565489</c:v>
                </c:pt>
                <c:pt idx="3">
                  <c:v>103.38</c:v>
                </c:pt>
                <c:pt idx="4">
                  <c:v>103.51</c:v>
                </c:pt>
                <c:pt idx="5">
                  <c:v>102.46</c:v>
                </c:pt>
                <c:pt idx="6">
                  <c:v>103.638918532283</c:v>
                </c:pt>
                <c:pt idx="7">
                  <c:v>106.32</c:v>
                </c:pt>
              </c:numCache>
            </c:numRef>
          </c:val>
          <c:extLst xmlns:c16r2="http://schemas.microsoft.com/office/drawing/2015/06/chart">
            <c:ext xmlns:c16="http://schemas.microsoft.com/office/drawing/2014/chart" uri="{C3380CC4-5D6E-409C-BE32-E72D297353CC}">
              <c16:uniqueId val="{00000005-0F0C-4D32-A3FF-163409A13C5E}"/>
            </c:ext>
          </c:extLst>
        </c:ser>
        <c:ser>
          <c:idx val="6"/>
          <c:order val="6"/>
          <c:tx>
            <c:strRef>
              <c:f>CALCS│Outcomes!$C$16</c:f>
              <c:strCache>
                <c:ptCount val="1"/>
                <c:pt idx="0">
                  <c:v>SRN</c:v>
                </c:pt>
              </c:strCache>
            </c:strRef>
          </c:tx>
          <c:spPr>
            <a:solidFill>
              <a:srgbClr val="E47FC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CALCS│Outcomes!$E$16:$L$16</c:f>
              <c:numCache>
                <c:formatCode>#,##0.00;\-#,##0.00;\-</c:formatCode>
                <c:ptCount val="8"/>
                <c:pt idx="0">
                  <c:v>81.268901198179705</c:v>
                </c:pt>
                <c:pt idx="1">
                  <c:v>84.59</c:v>
                </c:pt>
                <c:pt idx="2">
                  <c:v>81.69</c:v>
                </c:pt>
                <c:pt idx="3">
                  <c:v>83.91</c:v>
                </c:pt>
                <c:pt idx="4">
                  <c:v>88.110156640835797</c:v>
                </c:pt>
                <c:pt idx="5">
                  <c:v>88.680494328295197</c:v>
                </c:pt>
                <c:pt idx="6">
                  <c:v>101.83</c:v>
                </c:pt>
                <c:pt idx="7">
                  <c:v>94.04</c:v>
                </c:pt>
              </c:numCache>
            </c:numRef>
          </c:val>
          <c:extLst xmlns:c16r2="http://schemas.microsoft.com/office/drawing/2015/06/chart">
            <c:ext xmlns:c16="http://schemas.microsoft.com/office/drawing/2014/chart" uri="{C3380CC4-5D6E-409C-BE32-E72D297353CC}">
              <c16:uniqueId val="{00000006-0F0C-4D32-A3FF-163409A13C5E}"/>
            </c:ext>
          </c:extLst>
        </c:ser>
        <c:ser>
          <c:idx val="7"/>
          <c:order val="7"/>
          <c:tx>
            <c:strRef>
              <c:f>CALCS│Outcomes!$C$17</c:f>
              <c:strCache>
                <c:ptCount val="1"/>
                <c:pt idx="0">
                  <c:v>TMS</c:v>
                </c:pt>
              </c:strCache>
            </c:strRef>
          </c:tx>
          <c:spPr>
            <a:solidFill>
              <a:schemeClr val="accent4"/>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CALCS│Outcomes!$E$17:$L$17</c:f>
              <c:numCache>
                <c:formatCode>#,##0.00;\-#,##0.00;\-</c:formatCode>
                <c:ptCount val="8"/>
                <c:pt idx="0">
                  <c:v>645.54282745752801</c:v>
                </c:pt>
                <c:pt idx="1">
                  <c:v>644.29999999999995</c:v>
                </c:pt>
                <c:pt idx="2">
                  <c:v>653.96</c:v>
                </c:pt>
                <c:pt idx="3">
                  <c:v>642.46</c:v>
                </c:pt>
                <c:pt idx="4">
                  <c:v>677.15227390796599</c:v>
                </c:pt>
                <c:pt idx="5">
                  <c:v>694.65</c:v>
                </c:pt>
                <c:pt idx="6">
                  <c:v>690.39</c:v>
                </c:pt>
                <c:pt idx="7">
                  <c:v>594.83000000000004</c:v>
                </c:pt>
              </c:numCache>
            </c:numRef>
          </c:val>
          <c:extLst xmlns:c16r2="http://schemas.microsoft.com/office/drawing/2015/06/chart">
            <c:ext xmlns:c16="http://schemas.microsoft.com/office/drawing/2014/chart" uri="{C3380CC4-5D6E-409C-BE32-E72D297353CC}">
              <c16:uniqueId val="{00000007-0F0C-4D32-A3FF-163409A13C5E}"/>
            </c:ext>
          </c:extLst>
        </c:ser>
        <c:ser>
          <c:idx val="8"/>
          <c:order val="8"/>
          <c:tx>
            <c:strRef>
              <c:f>CALCS│Outcomes!$C$18</c:f>
              <c:strCache>
                <c:ptCount val="1"/>
                <c:pt idx="0">
                  <c:v>UU</c:v>
                </c:pt>
              </c:strCache>
            </c:strRef>
          </c:tx>
          <c:spPr>
            <a:solidFill>
              <a:srgbClr val="95B040"/>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CALCS│Outcomes!$E$18:$L$18</c:f>
              <c:numCache>
                <c:formatCode>#,##0.00;\-#,##0.00;\-</c:formatCode>
                <c:ptCount val="8"/>
                <c:pt idx="0">
                  <c:v>457.36316498791899</c:v>
                </c:pt>
                <c:pt idx="1">
                  <c:v>451.93281348633298</c:v>
                </c:pt>
                <c:pt idx="2">
                  <c:v>453.61355904751701</c:v>
                </c:pt>
                <c:pt idx="3">
                  <c:v>451.85689213569498</c:v>
                </c:pt>
                <c:pt idx="4">
                  <c:v>439.22019750905099</c:v>
                </c:pt>
                <c:pt idx="5">
                  <c:v>453.52338212963201</c:v>
                </c:pt>
                <c:pt idx="6">
                  <c:v>455.97429109638102</c:v>
                </c:pt>
                <c:pt idx="7">
                  <c:v>446.10437844157599</c:v>
                </c:pt>
              </c:numCache>
            </c:numRef>
          </c:val>
          <c:extLst xmlns:c16r2="http://schemas.microsoft.com/office/drawing/2015/06/chart">
            <c:ext xmlns:c16="http://schemas.microsoft.com/office/drawing/2014/chart" uri="{C3380CC4-5D6E-409C-BE32-E72D297353CC}">
              <c16:uniqueId val="{00000008-0F0C-4D32-A3FF-163409A13C5E}"/>
            </c:ext>
          </c:extLst>
        </c:ser>
        <c:ser>
          <c:idx val="9"/>
          <c:order val="9"/>
          <c:tx>
            <c:strRef>
              <c:f>CALCS│Outcomes!$C$19</c:f>
              <c:strCache>
                <c:ptCount val="1"/>
                <c:pt idx="0">
                  <c:v>WSX</c:v>
                </c:pt>
              </c:strCache>
            </c:strRef>
          </c:tx>
          <c:spPr>
            <a:solidFill>
              <a:schemeClr val="accent3"/>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CALCS│Outcomes!$E$19:$L$19</c:f>
              <c:numCache>
                <c:formatCode>#,##0.00;\-#,##0.00;\-</c:formatCode>
                <c:ptCount val="8"/>
                <c:pt idx="0">
                  <c:v>68.52</c:v>
                </c:pt>
                <c:pt idx="1">
                  <c:v>69.33</c:v>
                </c:pt>
                <c:pt idx="2">
                  <c:v>68.58</c:v>
                </c:pt>
                <c:pt idx="3">
                  <c:v>68.33</c:v>
                </c:pt>
                <c:pt idx="4">
                  <c:v>68.349999999999994</c:v>
                </c:pt>
                <c:pt idx="5">
                  <c:v>67.709999999999994</c:v>
                </c:pt>
                <c:pt idx="6">
                  <c:v>66.39</c:v>
                </c:pt>
                <c:pt idx="7">
                  <c:v>61.35</c:v>
                </c:pt>
              </c:numCache>
            </c:numRef>
          </c:val>
          <c:extLst xmlns:c16r2="http://schemas.microsoft.com/office/drawing/2015/06/chart">
            <c:ext xmlns:c16="http://schemas.microsoft.com/office/drawing/2014/chart" uri="{C3380CC4-5D6E-409C-BE32-E72D297353CC}">
              <c16:uniqueId val="{00000009-0F0C-4D32-A3FF-163409A13C5E}"/>
            </c:ext>
          </c:extLst>
        </c:ser>
        <c:ser>
          <c:idx val="10"/>
          <c:order val="10"/>
          <c:tx>
            <c:strRef>
              <c:f>CALCS│Outcomes!$C$20</c:f>
              <c:strCache>
                <c:ptCount val="1"/>
                <c:pt idx="0">
                  <c:v>YKY</c:v>
                </c:pt>
              </c:strCache>
            </c:strRef>
          </c:tx>
          <c:spPr>
            <a:solidFill>
              <a:srgbClr val="F9D47F"/>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CALCS│Outcomes!$E$20:$L$20</c:f>
              <c:numCache>
                <c:formatCode>#,##0.00;\-#,##0.00;\-</c:formatCode>
                <c:ptCount val="8"/>
                <c:pt idx="0">
                  <c:v>264.62</c:v>
                </c:pt>
                <c:pt idx="1">
                  <c:v>282.27</c:v>
                </c:pt>
                <c:pt idx="2">
                  <c:v>288.41547573538099</c:v>
                </c:pt>
                <c:pt idx="3">
                  <c:v>285.120939363964</c:v>
                </c:pt>
                <c:pt idx="4">
                  <c:v>295.16000000000003</c:v>
                </c:pt>
                <c:pt idx="5">
                  <c:v>300.27999999999997</c:v>
                </c:pt>
                <c:pt idx="6">
                  <c:v>289.77</c:v>
                </c:pt>
                <c:pt idx="7">
                  <c:v>270.75</c:v>
                </c:pt>
              </c:numCache>
            </c:numRef>
          </c:val>
          <c:extLst xmlns:c16r2="http://schemas.microsoft.com/office/drawing/2015/06/chart">
            <c:ext xmlns:c16="http://schemas.microsoft.com/office/drawing/2014/chart" uri="{C3380CC4-5D6E-409C-BE32-E72D297353CC}">
              <c16:uniqueId val="{0000000A-0F0C-4D32-A3FF-163409A13C5E}"/>
            </c:ext>
          </c:extLst>
        </c:ser>
        <c:ser>
          <c:idx val="11"/>
          <c:order val="11"/>
          <c:tx>
            <c:strRef>
              <c:f>CALCS│Outcomes!$C$21</c:f>
              <c:strCache>
                <c:ptCount val="1"/>
                <c:pt idx="0">
                  <c:v>AFW</c:v>
                </c:pt>
              </c:strCache>
            </c:strRef>
          </c:tx>
          <c:spPr>
            <a:solidFill>
              <a:srgbClr val="FCEABF"/>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CALCS│Outcomes!$E$21:$L$21</c:f>
              <c:numCache>
                <c:formatCode>#,##0.00;\-#,##0.00;\-</c:formatCode>
                <c:ptCount val="8"/>
                <c:pt idx="0">
                  <c:v>189.488144241199</c:v>
                </c:pt>
                <c:pt idx="1">
                  <c:v>180.741673275225</c:v>
                </c:pt>
                <c:pt idx="2">
                  <c:v>183.485497630921</c:v>
                </c:pt>
                <c:pt idx="3">
                  <c:v>180.88999899999999</c:v>
                </c:pt>
                <c:pt idx="4">
                  <c:v>172.986870233817</c:v>
                </c:pt>
                <c:pt idx="5">
                  <c:v>177.2</c:v>
                </c:pt>
                <c:pt idx="6">
                  <c:v>196.07640970180401</c:v>
                </c:pt>
                <c:pt idx="7">
                  <c:v>162.12150165483101</c:v>
                </c:pt>
              </c:numCache>
            </c:numRef>
          </c:val>
          <c:extLst xmlns:c16r2="http://schemas.microsoft.com/office/drawing/2015/06/chart">
            <c:ext xmlns:c16="http://schemas.microsoft.com/office/drawing/2014/chart" uri="{C3380CC4-5D6E-409C-BE32-E72D297353CC}">
              <c16:uniqueId val="{0000000B-0F0C-4D32-A3FF-163409A13C5E}"/>
            </c:ext>
          </c:extLst>
        </c:ser>
        <c:ser>
          <c:idx val="12"/>
          <c:order val="12"/>
          <c:tx>
            <c:strRef>
              <c:f>CALCS│Outcomes!$C$22</c:f>
              <c:strCache>
                <c:ptCount val="1"/>
                <c:pt idx="0">
                  <c:v>BRL</c:v>
                </c:pt>
              </c:strCache>
            </c:strRef>
          </c:tx>
          <c:spPr>
            <a:solidFill>
              <a:schemeClr val="accent2"/>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CALCS│Outcomes!$E$22:$L$22</c:f>
              <c:numCache>
                <c:formatCode>#,##0.00;\-#,##0.00;\-</c:formatCode>
                <c:ptCount val="8"/>
                <c:pt idx="0">
                  <c:v>42.1</c:v>
                </c:pt>
                <c:pt idx="1">
                  <c:v>43.686864841972898</c:v>
                </c:pt>
                <c:pt idx="2">
                  <c:v>45.117175086861799</c:v>
                </c:pt>
                <c:pt idx="3">
                  <c:v>44.220819062218197</c:v>
                </c:pt>
                <c:pt idx="4">
                  <c:v>46.42</c:v>
                </c:pt>
                <c:pt idx="5">
                  <c:v>46.64</c:v>
                </c:pt>
                <c:pt idx="6">
                  <c:v>41.71</c:v>
                </c:pt>
                <c:pt idx="7">
                  <c:v>37.21</c:v>
                </c:pt>
              </c:numCache>
            </c:numRef>
          </c:val>
          <c:extLst xmlns:c16r2="http://schemas.microsoft.com/office/drawing/2015/06/chart">
            <c:ext xmlns:c16="http://schemas.microsoft.com/office/drawing/2014/chart" uri="{C3380CC4-5D6E-409C-BE32-E72D297353CC}">
              <c16:uniqueId val="{0000000C-0F0C-4D32-A3FF-163409A13C5E}"/>
            </c:ext>
          </c:extLst>
        </c:ser>
        <c:ser>
          <c:idx val="13"/>
          <c:order val="13"/>
          <c:tx>
            <c:strRef>
              <c:f>CALCS│Outcomes!$C$23</c:f>
              <c:strCache>
                <c:ptCount val="1"/>
                <c:pt idx="0">
                  <c:v>PRT</c:v>
                </c:pt>
              </c:strCache>
            </c:strRef>
          </c:tx>
          <c:spPr>
            <a:solidFill>
              <a:srgbClr val="E0DCD8"/>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CALCS│Outcomes!$E$23:$L$23</c:f>
              <c:numCache>
                <c:formatCode>#,##0.00;\-#,##0.00;\-</c:formatCode>
                <c:ptCount val="8"/>
                <c:pt idx="0">
                  <c:v>34.07</c:v>
                </c:pt>
                <c:pt idx="1">
                  <c:v>29.5</c:v>
                </c:pt>
                <c:pt idx="2">
                  <c:v>28.85</c:v>
                </c:pt>
                <c:pt idx="3">
                  <c:v>28.23</c:v>
                </c:pt>
                <c:pt idx="4">
                  <c:v>30.37</c:v>
                </c:pt>
                <c:pt idx="5">
                  <c:v>32.869999999999997</c:v>
                </c:pt>
                <c:pt idx="6">
                  <c:v>28.12</c:v>
                </c:pt>
                <c:pt idx="7">
                  <c:v>23.58</c:v>
                </c:pt>
              </c:numCache>
            </c:numRef>
          </c:val>
          <c:extLst xmlns:c16r2="http://schemas.microsoft.com/office/drawing/2015/06/chart">
            <c:ext xmlns:c16="http://schemas.microsoft.com/office/drawing/2014/chart" uri="{C3380CC4-5D6E-409C-BE32-E72D297353CC}">
              <c16:uniqueId val="{0000000D-0F0C-4D32-A3FF-163409A13C5E}"/>
            </c:ext>
          </c:extLst>
        </c:ser>
        <c:ser>
          <c:idx val="14"/>
          <c:order val="14"/>
          <c:tx>
            <c:strRef>
              <c:f>CALCS│Outcomes!$C$24</c:f>
              <c:strCache>
                <c:ptCount val="1"/>
                <c:pt idx="0">
                  <c:v>SEW</c:v>
                </c:pt>
              </c:strCache>
            </c:strRef>
          </c:tx>
          <c:spPr>
            <a:solidFill>
              <a:schemeClr val="accent6"/>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CALCS│Outcomes!$E$24:$L$24</c:f>
              <c:numCache>
                <c:formatCode>#,##0.00;\-#,##0.00;\-</c:formatCode>
                <c:ptCount val="8"/>
                <c:pt idx="0">
                  <c:v>93.16</c:v>
                </c:pt>
                <c:pt idx="1">
                  <c:v>92.558189507076605</c:v>
                </c:pt>
                <c:pt idx="2">
                  <c:v>92.452515149166402</c:v>
                </c:pt>
                <c:pt idx="3">
                  <c:v>88.107760204071198</c:v>
                </c:pt>
                <c:pt idx="4">
                  <c:v>88.625186521672603</c:v>
                </c:pt>
                <c:pt idx="5">
                  <c:v>87.69</c:v>
                </c:pt>
                <c:pt idx="6">
                  <c:v>86.88</c:v>
                </c:pt>
                <c:pt idx="7">
                  <c:v>86.4003977659047</c:v>
                </c:pt>
              </c:numCache>
            </c:numRef>
          </c:val>
          <c:extLst xmlns:c16r2="http://schemas.microsoft.com/office/drawing/2015/06/chart">
            <c:ext xmlns:c16="http://schemas.microsoft.com/office/drawing/2014/chart" uri="{C3380CC4-5D6E-409C-BE32-E72D297353CC}">
              <c16:uniqueId val="{0000000E-0F0C-4D32-A3FF-163409A13C5E}"/>
            </c:ext>
          </c:extLst>
        </c:ser>
        <c:ser>
          <c:idx val="15"/>
          <c:order val="15"/>
          <c:tx>
            <c:strRef>
              <c:f>CALCS│Outcomes!$C$25</c:f>
              <c:strCache>
                <c:ptCount val="1"/>
                <c:pt idx="0">
                  <c:v>SSC</c:v>
                </c:pt>
              </c:strCache>
            </c:strRef>
          </c:tx>
          <c:spPr>
            <a:solidFill>
              <a:srgbClr val="FEA38C"/>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CALCS│Outcomes!$E$25:$L$25</c:f>
              <c:numCache>
                <c:formatCode>#,##0.00;\-#,##0.00;\-</c:formatCode>
                <c:ptCount val="8"/>
                <c:pt idx="0">
                  <c:v>77.61</c:v>
                </c:pt>
                <c:pt idx="1">
                  <c:v>79.594395391550506</c:v>
                </c:pt>
                <c:pt idx="2">
                  <c:v>82.748233259873899</c:v>
                </c:pt>
                <c:pt idx="3">
                  <c:v>83.119603622010601</c:v>
                </c:pt>
                <c:pt idx="4">
                  <c:v>84.17</c:v>
                </c:pt>
                <c:pt idx="5">
                  <c:v>86.8</c:v>
                </c:pt>
                <c:pt idx="6">
                  <c:v>83.74</c:v>
                </c:pt>
                <c:pt idx="7">
                  <c:v>81.69</c:v>
                </c:pt>
              </c:numCache>
            </c:numRef>
          </c:val>
          <c:extLst xmlns:c16r2="http://schemas.microsoft.com/office/drawing/2015/06/chart">
            <c:ext xmlns:c16="http://schemas.microsoft.com/office/drawing/2014/chart" uri="{C3380CC4-5D6E-409C-BE32-E72D297353CC}">
              <c16:uniqueId val="{0000000F-0F0C-4D32-A3FF-163409A13C5E}"/>
            </c:ext>
          </c:extLst>
        </c:ser>
        <c:ser>
          <c:idx val="16"/>
          <c:order val="16"/>
          <c:tx>
            <c:strRef>
              <c:f>CALCS│Outcomes!$C$26</c:f>
              <c:strCache>
                <c:ptCount val="1"/>
                <c:pt idx="0">
                  <c:v>SES</c:v>
                </c:pt>
              </c:strCache>
            </c:strRef>
          </c:tx>
          <c:spPr>
            <a:solidFill>
              <a:srgbClr val="7030A0"/>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CALCS│Outcomes!$E$26:$L$26</c:f>
              <c:numCache>
                <c:formatCode>#,##0.00;\-#,##0.00;\-</c:formatCode>
                <c:ptCount val="8"/>
                <c:pt idx="0">
                  <c:v>23.74</c:v>
                </c:pt>
                <c:pt idx="1">
                  <c:v>23.93</c:v>
                </c:pt>
                <c:pt idx="2">
                  <c:v>24.16</c:v>
                </c:pt>
                <c:pt idx="3">
                  <c:v>24.17</c:v>
                </c:pt>
                <c:pt idx="4">
                  <c:v>24.34</c:v>
                </c:pt>
                <c:pt idx="5">
                  <c:v>24.16</c:v>
                </c:pt>
                <c:pt idx="6">
                  <c:v>24.15</c:v>
                </c:pt>
                <c:pt idx="7">
                  <c:v>23.95</c:v>
                </c:pt>
              </c:numCache>
            </c:numRef>
          </c:val>
          <c:extLst xmlns:c16r2="http://schemas.microsoft.com/office/drawing/2015/06/chart">
            <c:ext xmlns:c16="http://schemas.microsoft.com/office/drawing/2014/chart" uri="{C3380CC4-5D6E-409C-BE32-E72D297353CC}">
              <c16:uniqueId val="{00000010-0F0C-4D32-A3FF-163409A13C5E}"/>
            </c:ext>
          </c:extLst>
        </c:ser>
        <c:dLbls>
          <c:showLegendKey val="0"/>
          <c:showVal val="0"/>
          <c:showCatName val="0"/>
          <c:showSerName val="0"/>
          <c:showPercent val="0"/>
          <c:showBubbleSize val="0"/>
        </c:dLbls>
        <c:gapWidth val="100"/>
        <c:overlap val="100"/>
        <c:axId val="418396208"/>
        <c:axId val="418397384"/>
      </c:barChart>
      <c:catAx>
        <c:axId val="41839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397384"/>
        <c:crosses val="autoZero"/>
        <c:auto val="1"/>
        <c:lblAlgn val="ctr"/>
        <c:lblOffset val="100"/>
        <c:noMultiLvlLbl val="0"/>
      </c:catAx>
      <c:valAx>
        <c:axId val="418397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Ml/day (000s)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396208"/>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7"/>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1-49C5-4AA8-A6EF-DFF03D5BD71A}"/>
              </c:ext>
            </c:extLst>
          </c:dPt>
          <c:cat>
            <c:strRef>
              <c:f>'OUTPUT│Outcomes Trends'!$D$254:$D$271</c:f>
              <c:strCache>
                <c:ptCount val="18"/>
                <c:pt idx="0">
                  <c:v>SES</c:v>
                </c:pt>
                <c:pt idx="1">
                  <c:v>SVE</c:v>
                </c:pt>
                <c:pt idx="2">
                  <c:v>WSH</c:v>
                </c:pt>
                <c:pt idx="3">
                  <c:v>WSX</c:v>
                </c:pt>
                <c:pt idx="4">
                  <c:v>SSC</c:v>
                </c:pt>
                <c:pt idx="5">
                  <c:v>BRL</c:v>
                </c:pt>
                <c:pt idx="6">
                  <c:v>UU</c:v>
                </c:pt>
                <c:pt idx="7">
                  <c:v>SRN</c:v>
                </c:pt>
                <c:pt idx="8">
                  <c:v>AFW</c:v>
                </c:pt>
                <c:pt idx="9">
                  <c:v>SWB</c:v>
                </c:pt>
                <c:pt idx="10">
                  <c:v>YKY</c:v>
                </c:pt>
                <c:pt idx="11">
                  <c:v>SEW</c:v>
                </c:pt>
                <c:pt idx="12">
                  <c:v>PRT</c:v>
                </c:pt>
                <c:pt idx="13">
                  <c:v>NES</c:v>
                </c:pt>
                <c:pt idx="14">
                  <c:v>HDD</c:v>
                </c:pt>
                <c:pt idx="15">
                  <c:v>ANH</c:v>
                </c:pt>
                <c:pt idx="16">
                  <c:v>TMS</c:v>
                </c:pt>
                <c:pt idx="17">
                  <c:v>Industry</c:v>
                </c:pt>
              </c:strCache>
            </c:strRef>
          </c:cat>
          <c:val>
            <c:numRef>
              <c:f>'OUTPUT│Outcomes Trends'!$E$254:$E$271</c:f>
              <c:numCache>
                <c:formatCode>0.0%</c:formatCode>
                <c:ptCount val="18"/>
                <c:pt idx="0">
                  <c:v>-0.92</c:v>
                </c:pt>
                <c:pt idx="1">
                  <c:v>-0.74826388888888884</c:v>
                </c:pt>
                <c:pt idx="2">
                  <c:v>-0.72264150943396221</c:v>
                </c:pt>
                <c:pt idx="3">
                  <c:v>-0.68333333333333324</c:v>
                </c:pt>
                <c:pt idx="4">
                  <c:v>-0.65967840955190182</c:v>
                </c:pt>
                <c:pt idx="5">
                  <c:v>-0.60630477806050331</c:v>
                </c:pt>
                <c:pt idx="6">
                  <c:v>-0.43162790697674419</c:v>
                </c:pt>
                <c:pt idx="7">
                  <c:v>-0.37388888888888894</c:v>
                </c:pt>
                <c:pt idx="8">
                  <c:v>-0.30116678642764222</c:v>
                </c:pt>
                <c:pt idx="9">
                  <c:v>-0.28987514943828702</c:v>
                </c:pt>
                <c:pt idx="10">
                  <c:v>-0.25882352941176484</c:v>
                </c:pt>
                <c:pt idx="11">
                  <c:v>-0.24242424242424238</c:v>
                </c:pt>
                <c:pt idx="12">
                  <c:v>-0.16252072968490888</c:v>
                </c:pt>
                <c:pt idx="13">
                  <c:v>-0.11750599520383677</c:v>
                </c:pt>
                <c:pt idx="14">
                  <c:v>8.2692307692307634E-2</c:v>
                </c:pt>
                <c:pt idx="15">
                  <c:v>0.35144927536231868</c:v>
                </c:pt>
                <c:pt idx="16">
                  <c:v>0.64062499999999989</c:v>
                </c:pt>
                <c:pt idx="17">
                  <c:v>-0.36160588884373779</c:v>
                </c:pt>
              </c:numCache>
            </c:numRef>
          </c:val>
          <c:extLst xmlns:c16r2="http://schemas.microsoft.com/office/drawing/2015/06/chart">
            <c:ext xmlns:c16="http://schemas.microsoft.com/office/drawing/2014/chart" uri="{C3380CC4-5D6E-409C-BE32-E72D297353CC}">
              <c16:uniqueId val="{00000002-49C5-4AA8-A6EF-DFF03D5BD71A}"/>
            </c:ext>
          </c:extLst>
        </c:ser>
        <c:dLbls>
          <c:showLegendKey val="0"/>
          <c:showVal val="0"/>
          <c:showCatName val="0"/>
          <c:showSerName val="0"/>
          <c:showPercent val="0"/>
          <c:showBubbleSize val="0"/>
        </c:dLbls>
        <c:gapWidth val="150"/>
        <c:overlap val="-27"/>
        <c:axId val="418397776"/>
        <c:axId val="418400128"/>
      </c:barChart>
      <c:catAx>
        <c:axId val="4183977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400128"/>
        <c:crosses val="autoZero"/>
        <c:auto val="1"/>
        <c:lblAlgn val="ctr"/>
        <c:lblOffset val="100"/>
        <c:noMultiLvlLbl val="0"/>
      </c:catAx>
      <c:valAx>
        <c:axId val="418400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397776"/>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CALCS│Outcomes!$C$195</c:f>
              <c:strCache>
                <c:ptCount val="1"/>
                <c:pt idx="0">
                  <c:v>ANH</c:v>
                </c:pt>
              </c:strCache>
            </c:strRef>
          </c:tx>
          <c:spPr>
            <a:solidFill>
              <a:schemeClr val="tx2"/>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CALCS│Outcomes!$E$195:$L$195</c:f>
              <c:numCache>
                <c:formatCode>#,##0.00;\-#,##0.00;\-</c:formatCode>
                <c:ptCount val="8"/>
                <c:pt idx="0">
                  <c:v>29.043783600000005</c:v>
                </c:pt>
                <c:pt idx="1">
                  <c:v>41.980454999999999</c:v>
                </c:pt>
                <c:pt idx="2">
                  <c:v>40.983868890000004</c:v>
                </c:pt>
                <c:pt idx="3">
                  <c:v>17.667564200000001</c:v>
                </c:pt>
                <c:pt idx="4">
                  <c:v>25.318446440000002</c:v>
                </c:pt>
                <c:pt idx="5">
                  <c:v>16.2483206</c:v>
                </c:pt>
                <c:pt idx="6">
                  <c:v>19.368945449999998</c:v>
                </c:pt>
                <c:pt idx="7">
                  <c:v>41.858227849999999</c:v>
                </c:pt>
              </c:numCache>
            </c:numRef>
          </c:val>
          <c:extLst xmlns:c16r2="http://schemas.microsoft.com/office/drawing/2015/06/chart">
            <c:ext xmlns:c16="http://schemas.microsoft.com/office/drawing/2014/chart" uri="{C3380CC4-5D6E-409C-BE32-E72D297353CC}">
              <c16:uniqueId val="{00000000-F954-4887-903C-14980726B572}"/>
            </c:ext>
          </c:extLst>
        </c:ser>
        <c:ser>
          <c:idx val="1"/>
          <c:order val="1"/>
          <c:tx>
            <c:strRef>
              <c:f>CALCS│Outcomes!$C$196</c:f>
              <c:strCache>
                <c:ptCount val="1"/>
                <c:pt idx="0">
                  <c:v>WSH</c:v>
                </c:pt>
              </c:strCache>
            </c:strRef>
          </c:tx>
          <c:spPr>
            <a:solidFill>
              <a:schemeClr val="accent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CALCS│Outcomes!$E$196:$L$196</c:f>
              <c:numCache>
                <c:formatCode>#,##0.00;\-#,##0.00;\-</c:formatCode>
                <c:ptCount val="8"/>
                <c:pt idx="0">
                  <c:v>74.132372000000004</c:v>
                </c:pt>
                <c:pt idx="1">
                  <c:v>71.03283660000001</c:v>
                </c:pt>
                <c:pt idx="2">
                  <c:v>32.384253000000001</c:v>
                </c:pt>
                <c:pt idx="3">
                  <c:v>30.748965099999999</c:v>
                </c:pt>
                <c:pt idx="4">
                  <c:v>17.3132883</c:v>
                </c:pt>
                <c:pt idx="5">
                  <c:v>62.070593299999992</c:v>
                </c:pt>
                <c:pt idx="6">
                  <c:v>23.068287999999999</c:v>
                </c:pt>
                <c:pt idx="7">
                  <c:v>21.334477499999998</c:v>
                </c:pt>
              </c:numCache>
            </c:numRef>
          </c:val>
          <c:extLst xmlns:c16r2="http://schemas.microsoft.com/office/drawing/2015/06/chart">
            <c:ext xmlns:c16="http://schemas.microsoft.com/office/drawing/2014/chart" uri="{C3380CC4-5D6E-409C-BE32-E72D297353CC}">
              <c16:uniqueId val="{00000001-F954-4887-903C-14980726B572}"/>
            </c:ext>
          </c:extLst>
        </c:ser>
        <c:ser>
          <c:idx val="2"/>
          <c:order val="2"/>
          <c:tx>
            <c:strRef>
              <c:f>CALCS│Outcomes!$C$197</c:f>
              <c:strCache>
                <c:ptCount val="1"/>
                <c:pt idx="0">
                  <c:v>HDD</c:v>
                </c:pt>
              </c:strCache>
            </c:strRef>
          </c:tx>
          <c:spPr>
            <a:solidFill>
              <a:schemeClr val="tx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CALCS│Outcomes!$E$197:$L$197</c:f>
              <c:numCache>
                <c:formatCode>#,##0.00;\-#,##0.00;\-</c:formatCode>
                <c:ptCount val="8"/>
                <c:pt idx="0">
                  <c:v>1.9357260000000001</c:v>
                </c:pt>
                <c:pt idx="1">
                  <c:v>1.1227320000000001</c:v>
                </c:pt>
                <c:pt idx="2">
                  <c:v>1.2815076000000001</c:v>
                </c:pt>
                <c:pt idx="3">
                  <c:v>0.66106602000000003</c:v>
                </c:pt>
                <c:pt idx="4">
                  <c:v>2.6758829999999998</c:v>
                </c:pt>
                <c:pt idx="5">
                  <c:v>0.53304167093099997</c:v>
                </c:pt>
                <c:pt idx="6">
                  <c:v>3.0617416666666664</c:v>
                </c:pt>
                <c:pt idx="7">
                  <c:v>1.77900681</c:v>
                </c:pt>
              </c:numCache>
            </c:numRef>
          </c:val>
          <c:extLst xmlns:c16r2="http://schemas.microsoft.com/office/drawing/2015/06/chart">
            <c:ext xmlns:c16="http://schemas.microsoft.com/office/drawing/2014/chart" uri="{C3380CC4-5D6E-409C-BE32-E72D297353CC}">
              <c16:uniqueId val="{00000002-F954-4887-903C-14980726B572}"/>
            </c:ext>
          </c:extLst>
        </c:ser>
        <c:ser>
          <c:idx val="3"/>
          <c:order val="3"/>
          <c:tx>
            <c:strRef>
              <c:f>CALCS│Outcomes!$C$198</c:f>
              <c:strCache>
                <c:ptCount val="1"/>
                <c:pt idx="0">
                  <c:v>NES</c:v>
                </c:pt>
              </c:strCache>
            </c:strRef>
          </c:tx>
          <c:spPr>
            <a:solidFill>
              <a:srgbClr val="7FBBE4"/>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CALCS│Outcomes!$E$198:$L$198</c:f>
              <c:numCache>
                <c:formatCode>#,##0.00;\-#,##0.00;\-</c:formatCode>
                <c:ptCount val="8"/>
                <c:pt idx="0">
                  <c:v>13.6580844</c:v>
                </c:pt>
                <c:pt idx="1">
                  <c:v>9.7248046099999996</c:v>
                </c:pt>
                <c:pt idx="2">
                  <c:v>7.8058966666666718</c:v>
                </c:pt>
                <c:pt idx="3">
                  <c:v>6.6865700000000006</c:v>
                </c:pt>
                <c:pt idx="4">
                  <c:v>4.9189492666666661</c:v>
                </c:pt>
                <c:pt idx="5">
                  <c:v>10.867189650000002</c:v>
                </c:pt>
                <c:pt idx="6">
                  <c:v>18.672246399999995</c:v>
                </c:pt>
                <c:pt idx="7">
                  <c:v>12.559306400000002</c:v>
                </c:pt>
              </c:numCache>
            </c:numRef>
          </c:val>
          <c:extLst xmlns:c16r2="http://schemas.microsoft.com/office/drawing/2015/06/chart">
            <c:ext xmlns:c16="http://schemas.microsoft.com/office/drawing/2014/chart" uri="{C3380CC4-5D6E-409C-BE32-E72D297353CC}">
              <c16:uniqueId val="{00000003-F954-4887-903C-14980726B572}"/>
            </c:ext>
          </c:extLst>
        </c:ser>
        <c:ser>
          <c:idx val="4"/>
          <c:order val="4"/>
          <c:tx>
            <c:strRef>
              <c:f>CALCS│Outcomes!$C$199</c:f>
              <c:strCache>
                <c:ptCount val="1"/>
                <c:pt idx="0">
                  <c:v>SVE</c:v>
                </c:pt>
              </c:strCache>
            </c:strRef>
          </c:tx>
          <c:spPr>
            <a:solidFill>
              <a:srgbClr val="BFDDF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CALCS│Outcomes!$E$199:$L$199</c:f>
              <c:numCache>
                <c:formatCode>#,##0.00;\-#,##0.00;\-</c:formatCode>
                <c:ptCount val="8"/>
                <c:pt idx="0">
                  <c:v>99.730512000000004</c:v>
                </c:pt>
                <c:pt idx="1">
                  <c:v>54.32542440000001</c:v>
                </c:pt>
                <c:pt idx="2">
                  <c:v>35.000930000000075</c:v>
                </c:pt>
                <c:pt idx="3">
                  <c:v>39.419064040000002</c:v>
                </c:pt>
                <c:pt idx="4">
                  <c:v>35.780446510000004</c:v>
                </c:pt>
                <c:pt idx="5">
                  <c:v>123.03314686666668</c:v>
                </c:pt>
                <c:pt idx="6">
                  <c:v>68.677927999999994</c:v>
                </c:pt>
                <c:pt idx="7">
                  <c:v>26.607471</c:v>
                </c:pt>
              </c:numCache>
            </c:numRef>
          </c:val>
          <c:extLst xmlns:c16r2="http://schemas.microsoft.com/office/drawing/2015/06/chart">
            <c:ext xmlns:c16="http://schemas.microsoft.com/office/drawing/2014/chart" uri="{C3380CC4-5D6E-409C-BE32-E72D297353CC}">
              <c16:uniqueId val="{00000004-F954-4887-903C-14980726B572}"/>
            </c:ext>
          </c:extLst>
        </c:ser>
        <c:ser>
          <c:idx val="5"/>
          <c:order val="5"/>
          <c:tx>
            <c:strRef>
              <c:f>CALCS│Outcomes!$C$200</c:f>
              <c:strCache>
                <c:ptCount val="1"/>
                <c:pt idx="0">
                  <c:v>SWB</c:v>
                </c:pt>
              </c:strCache>
            </c:strRef>
          </c:tx>
          <c:spPr>
            <a:solidFill>
              <a:schemeClr val="accent5"/>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CALCS│Outcomes!$E$200:$L$200</c:f>
              <c:numCache>
                <c:formatCode>#,##0.00;\-#,##0.00;\-</c:formatCode>
                <c:ptCount val="8"/>
                <c:pt idx="0">
                  <c:v>13.738035400000003</c:v>
                </c:pt>
                <c:pt idx="1">
                  <c:v>12.360331800000008</c:v>
                </c:pt>
                <c:pt idx="2">
                  <c:v>18.851643600000003</c:v>
                </c:pt>
                <c:pt idx="3">
                  <c:v>20.975586900000003</c:v>
                </c:pt>
                <c:pt idx="4">
                  <c:v>11.368784239999998</c:v>
                </c:pt>
                <c:pt idx="5">
                  <c:v>27.437914382370451</c:v>
                </c:pt>
                <c:pt idx="6">
                  <c:v>8.3031816000000003</c:v>
                </c:pt>
                <c:pt idx="7">
                  <c:v>10.397716654034985</c:v>
                </c:pt>
              </c:numCache>
            </c:numRef>
          </c:val>
          <c:extLst xmlns:c16r2="http://schemas.microsoft.com/office/drawing/2015/06/chart">
            <c:ext xmlns:c16="http://schemas.microsoft.com/office/drawing/2014/chart" uri="{C3380CC4-5D6E-409C-BE32-E72D297353CC}">
              <c16:uniqueId val="{00000005-F954-4887-903C-14980726B572}"/>
            </c:ext>
          </c:extLst>
        </c:ser>
        <c:ser>
          <c:idx val="6"/>
          <c:order val="6"/>
          <c:tx>
            <c:strRef>
              <c:f>CALCS│Outcomes!$C$201</c:f>
              <c:strCache>
                <c:ptCount val="1"/>
                <c:pt idx="0">
                  <c:v>SRN</c:v>
                </c:pt>
              </c:strCache>
            </c:strRef>
          </c:tx>
          <c:spPr>
            <a:solidFill>
              <a:srgbClr val="E47FC1"/>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CALCS│Outcomes!$E$201:$L$201</c:f>
              <c:numCache>
                <c:formatCode>#,##0.00;\-#,##0.00;\-</c:formatCode>
                <c:ptCount val="8"/>
                <c:pt idx="0">
                  <c:v>19.322333999999998</c:v>
                </c:pt>
                <c:pt idx="1">
                  <c:v>11.681917199999997</c:v>
                </c:pt>
                <c:pt idx="2">
                  <c:v>6.5232540000000006</c:v>
                </c:pt>
                <c:pt idx="3">
                  <c:v>13.126848000000001</c:v>
                </c:pt>
                <c:pt idx="4">
                  <c:v>7.7286090000000005</c:v>
                </c:pt>
                <c:pt idx="5">
                  <c:v>18.684463200000003</c:v>
                </c:pt>
                <c:pt idx="6">
                  <c:v>8.2908174599999978</c:v>
                </c:pt>
                <c:pt idx="7">
                  <c:v>12.740734999999999</c:v>
                </c:pt>
              </c:numCache>
            </c:numRef>
          </c:val>
          <c:extLst xmlns:c16r2="http://schemas.microsoft.com/office/drawing/2015/06/chart">
            <c:ext xmlns:c16="http://schemas.microsoft.com/office/drawing/2014/chart" uri="{C3380CC4-5D6E-409C-BE32-E72D297353CC}">
              <c16:uniqueId val="{00000006-F954-4887-903C-14980726B572}"/>
            </c:ext>
          </c:extLst>
        </c:ser>
        <c:ser>
          <c:idx val="7"/>
          <c:order val="7"/>
          <c:tx>
            <c:strRef>
              <c:f>CALCS│Outcomes!$C$202</c:f>
              <c:strCache>
                <c:ptCount val="1"/>
                <c:pt idx="0">
                  <c:v>TMS</c:v>
                </c:pt>
              </c:strCache>
            </c:strRef>
          </c:tx>
          <c:spPr>
            <a:solidFill>
              <a:schemeClr val="accent4"/>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CALCS│Outcomes!$E$202:$L$202</c:f>
              <c:numCache>
                <c:formatCode>#,##0.00;\-#,##0.00;\-</c:formatCode>
                <c:ptCount val="8"/>
                <c:pt idx="0">
                  <c:v>49.42883904</c:v>
                </c:pt>
                <c:pt idx="1">
                  <c:v>43.486410239999998</c:v>
                </c:pt>
                <c:pt idx="2">
                  <c:v>41.341494900000001</c:v>
                </c:pt>
                <c:pt idx="3">
                  <c:v>58.404914399999996</c:v>
                </c:pt>
                <c:pt idx="4">
                  <c:v>40.422634666666667</c:v>
                </c:pt>
                <c:pt idx="5">
                  <c:v>110.5835958</c:v>
                </c:pt>
                <c:pt idx="6">
                  <c:v>85.553867699999984</c:v>
                </c:pt>
                <c:pt idx="7">
                  <c:v>86.424644249999986</c:v>
                </c:pt>
              </c:numCache>
            </c:numRef>
          </c:val>
          <c:extLst xmlns:c16r2="http://schemas.microsoft.com/office/drawing/2015/06/chart">
            <c:ext xmlns:c16="http://schemas.microsoft.com/office/drawing/2014/chart" uri="{C3380CC4-5D6E-409C-BE32-E72D297353CC}">
              <c16:uniqueId val="{00000007-F954-4887-903C-14980726B572}"/>
            </c:ext>
          </c:extLst>
        </c:ser>
        <c:ser>
          <c:idx val="8"/>
          <c:order val="8"/>
          <c:tx>
            <c:strRef>
              <c:f>CALCS│Outcomes!$C$203</c:f>
              <c:strCache>
                <c:ptCount val="1"/>
                <c:pt idx="0">
                  <c:v>UU</c:v>
                </c:pt>
              </c:strCache>
            </c:strRef>
          </c:tx>
          <c:spPr>
            <a:solidFill>
              <a:srgbClr val="95B040"/>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CALCS│Outcomes!$E$203:$L$203</c:f>
              <c:numCache>
                <c:formatCode>#,##0.00;\-#,##0.00;\-</c:formatCode>
                <c:ptCount val="8"/>
                <c:pt idx="0">
                  <c:v>57.780963333333332</c:v>
                </c:pt>
                <c:pt idx="1">
                  <c:v>31.8771019</c:v>
                </c:pt>
                <c:pt idx="2">
                  <c:v>43.610995750000001</c:v>
                </c:pt>
                <c:pt idx="3">
                  <c:v>54.693802599999998</c:v>
                </c:pt>
                <c:pt idx="4">
                  <c:v>44.621234000000001</c:v>
                </c:pt>
                <c:pt idx="5">
                  <c:v>43.56840905</c:v>
                </c:pt>
                <c:pt idx="6">
                  <c:v>30.6554325</c:v>
                </c:pt>
                <c:pt idx="7">
                  <c:v>34.409493516666672</c:v>
                </c:pt>
              </c:numCache>
            </c:numRef>
          </c:val>
          <c:extLst xmlns:c16r2="http://schemas.microsoft.com/office/drawing/2015/06/chart">
            <c:ext xmlns:c16="http://schemas.microsoft.com/office/drawing/2014/chart" uri="{C3380CC4-5D6E-409C-BE32-E72D297353CC}">
              <c16:uniqueId val="{00000008-F954-4887-903C-14980726B572}"/>
            </c:ext>
          </c:extLst>
        </c:ser>
        <c:ser>
          <c:idx val="9"/>
          <c:order val="9"/>
          <c:tx>
            <c:strRef>
              <c:f>CALCS│Outcomes!$C$204</c:f>
              <c:strCache>
                <c:ptCount val="1"/>
                <c:pt idx="0">
                  <c:v>WSX</c:v>
                </c:pt>
              </c:strCache>
            </c:strRef>
          </c:tx>
          <c:spPr>
            <a:solidFill>
              <a:schemeClr val="accent3"/>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CALCS│Outcomes!$E$204:$L$204</c:f>
              <c:numCache>
                <c:formatCode>#,##0.00;\-#,##0.00;\-</c:formatCode>
                <c:ptCount val="8"/>
                <c:pt idx="0">
                  <c:v>14.235336</c:v>
                </c:pt>
                <c:pt idx="1">
                  <c:v>14.339808000000001</c:v>
                </c:pt>
                <c:pt idx="2">
                  <c:v>12.1053657</c:v>
                </c:pt>
                <c:pt idx="3">
                  <c:v>8.6844757999999995</c:v>
                </c:pt>
                <c:pt idx="4">
                  <c:v>7.8351743999999997</c:v>
                </c:pt>
                <c:pt idx="5">
                  <c:v>7.5695184000000006</c:v>
                </c:pt>
                <c:pt idx="6">
                  <c:v>3.6334700999999994</c:v>
                </c:pt>
                <c:pt idx="7">
                  <c:v>4.7538987999999991</c:v>
                </c:pt>
              </c:numCache>
            </c:numRef>
          </c:val>
          <c:extLst xmlns:c16r2="http://schemas.microsoft.com/office/drawing/2015/06/chart">
            <c:ext xmlns:c16="http://schemas.microsoft.com/office/drawing/2014/chart" uri="{C3380CC4-5D6E-409C-BE32-E72D297353CC}">
              <c16:uniqueId val="{00000009-F954-4887-903C-14980726B572}"/>
            </c:ext>
          </c:extLst>
        </c:ser>
        <c:ser>
          <c:idx val="10"/>
          <c:order val="10"/>
          <c:tx>
            <c:strRef>
              <c:f>CALCS│Outcomes!$C$205</c:f>
              <c:strCache>
                <c:ptCount val="1"/>
                <c:pt idx="0">
                  <c:v>YKY</c:v>
                </c:pt>
              </c:strCache>
            </c:strRef>
          </c:tx>
          <c:spPr>
            <a:solidFill>
              <a:srgbClr val="F9D47F"/>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CALCS│Outcomes!$E$205:$L$205</c:f>
              <c:numCache>
                <c:formatCode>#,##0.00;\-#,##0.00;\-</c:formatCode>
                <c:ptCount val="8"/>
                <c:pt idx="0">
                  <c:v>22.891594800000004</c:v>
                </c:pt>
                <c:pt idx="1">
                  <c:v>22.976540400000005</c:v>
                </c:pt>
                <c:pt idx="2">
                  <c:v>21.472105199999998</c:v>
                </c:pt>
                <c:pt idx="3">
                  <c:v>29.349627700000006</c:v>
                </c:pt>
                <c:pt idx="4">
                  <c:v>22.393784339999996</c:v>
                </c:pt>
                <c:pt idx="5">
                  <c:v>16.045013279999999</c:v>
                </c:pt>
                <c:pt idx="6">
                  <c:v>24.258465900000004</c:v>
                </c:pt>
                <c:pt idx="7">
                  <c:v>17.670796920000001</c:v>
                </c:pt>
              </c:numCache>
            </c:numRef>
          </c:val>
          <c:extLst xmlns:c16r2="http://schemas.microsoft.com/office/drawing/2015/06/chart">
            <c:ext xmlns:c16="http://schemas.microsoft.com/office/drawing/2014/chart" uri="{C3380CC4-5D6E-409C-BE32-E72D297353CC}">
              <c16:uniqueId val="{0000000A-F954-4887-903C-14980726B572}"/>
            </c:ext>
          </c:extLst>
        </c:ser>
        <c:ser>
          <c:idx val="11"/>
          <c:order val="11"/>
          <c:tx>
            <c:strRef>
              <c:f>CALCS│Outcomes!$C$206</c:f>
              <c:strCache>
                <c:ptCount val="1"/>
                <c:pt idx="0">
                  <c:v>AFW</c:v>
                </c:pt>
              </c:strCache>
            </c:strRef>
          </c:tx>
          <c:spPr>
            <a:solidFill>
              <a:srgbClr val="FCEABF"/>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CALCS│Outcomes!$E$206:$L$206</c:f>
              <c:numCache>
                <c:formatCode>#,##0.00;\-#,##0.00;\-</c:formatCode>
                <c:ptCount val="8"/>
                <c:pt idx="0">
                  <c:v>28.225582037190424</c:v>
                </c:pt>
                <c:pt idx="1">
                  <c:v>33.11971896</c:v>
                </c:pt>
                <c:pt idx="2">
                  <c:v>39.6381503</c:v>
                </c:pt>
                <c:pt idx="3">
                  <c:v>26.426062083333335</c:v>
                </c:pt>
                <c:pt idx="4">
                  <c:v>31.472054599999996</c:v>
                </c:pt>
                <c:pt idx="5">
                  <c:v>49.356448399999998</c:v>
                </c:pt>
                <c:pt idx="6">
                  <c:v>19.248857999999998</c:v>
                </c:pt>
                <c:pt idx="7">
                  <c:v>20.744691999999997</c:v>
                </c:pt>
              </c:numCache>
            </c:numRef>
          </c:val>
          <c:extLst xmlns:c16r2="http://schemas.microsoft.com/office/drawing/2015/06/chart">
            <c:ext xmlns:c16="http://schemas.microsoft.com/office/drawing/2014/chart" uri="{C3380CC4-5D6E-409C-BE32-E72D297353CC}">
              <c16:uniqueId val="{0000000B-F954-4887-903C-14980726B572}"/>
            </c:ext>
          </c:extLst>
        </c:ser>
        <c:ser>
          <c:idx val="12"/>
          <c:order val="12"/>
          <c:tx>
            <c:strRef>
              <c:f>CALCS│Outcomes!$C$207</c:f>
              <c:strCache>
                <c:ptCount val="1"/>
                <c:pt idx="0">
                  <c:v>BRL</c:v>
                </c:pt>
              </c:strCache>
            </c:strRef>
          </c:tx>
          <c:spPr>
            <a:solidFill>
              <a:schemeClr val="accent2"/>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CALCS│Outcomes!$E$207:$L$207</c:f>
              <c:numCache>
                <c:formatCode>#,##0.00;\-#,##0.00;\-</c:formatCode>
                <c:ptCount val="8"/>
                <c:pt idx="0">
                  <c:v>12.179282220000001</c:v>
                </c:pt>
                <c:pt idx="1">
                  <c:v>12.200279160000003</c:v>
                </c:pt>
                <c:pt idx="2">
                  <c:v>81.899066819999987</c:v>
                </c:pt>
                <c:pt idx="3">
                  <c:v>8.369809466666668</c:v>
                </c:pt>
                <c:pt idx="4">
                  <c:v>6.6699845333333334</c:v>
                </c:pt>
                <c:pt idx="5">
                  <c:v>40.737552366666677</c:v>
                </c:pt>
                <c:pt idx="6">
                  <c:v>8.1229805166666651</c:v>
                </c:pt>
                <c:pt idx="7">
                  <c:v>5.0682915333333334</c:v>
                </c:pt>
              </c:numCache>
            </c:numRef>
          </c:val>
          <c:extLst xmlns:c16r2="http://schemas.microsoft.com/office/drawing/2015/06/chart">
            <c:ext xmlns:c16="http://schemas.microsoft.com/office/drawing/2014/chart" uri="{C3380CC4-5D6E-409C-BE32-E72D297353CC}">
              <c16:uniqueId val="{0000000C-F954-4887-903C-14980726B572}"/>
            </c:ext>
          </c:extLst>
        </c:ser>
        <c:ser>
          <c:idx val="13"/>
          <c:order val="13"/>
          <c:tx>
            <c:strRef>
              <c:f>CALCS│Outcomes!$C$208</c:f>
              <c:strCache>
                <c:ptCount val="1"/>
                <c:pt idx="0">
                  <c:v>PRT</c:v>
                </c:pt>
              </c:strCache>
            </c:strRef>
          </c:tx>
          <c:spPr>
            <a:solidFill>
              <a:srgbClr val="E0DCD8"/>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CALCS│Outcomes!$E$208:$L$208</c:f>
              <c:numCache>
                <c:formatCode>#,##0.00;\-#,##0.00;\-</c:formatCode>
                <c:ptCount val="8"/>
                <c:pt idx="0">
                  <c:v>1.2413398200000001</c:v>
                </c:pt>
                <c:pt idx="1">
                  <c:v>1.6015607999999997</c:v>
                </c:pt>
                <c:pt idx="2">
                  <c:v>2.7321185333333333</c:v>
                </c:pt>
                <c:pt idx="3">
                  <c:v>1.1036199999999998</c:v>
                </c:pt>
                <c:pt idx="4">
                  <c:v>1.3187662500000001</c:v>
                </c:pt>
                <c:pt idx="5">
                  <c:v>1.3698357000000001</c:v>
                </c:pt>
                <c:pt idx="6">
                  <c:v>1.2542088000000002</c:v>
                </c:pt>
                <c:pt idx="7">
                  <c:v>1.0829691333333333</c:v>
                </c:pt>
              </c:numCache>
            </c:numRef>
          </c:val>
          <c:extLst xmlns:c16r2="http://schemas.microsoft.com/office/drawing/2015/06/chart">
            <c:ext xmlns:c16="http://schemas.microsoft.com/office/drawing/2014/chart" uri="{C3380CC4-5D6E-409C-BE32-E72D297353CC}">
              <c16:uniqueId val="{0000000D-F954-4887-903C-14980726B572}"/>
            </c:ext>
          </c:extLst>
        </c:ser>
        <c:ser>
          <c:idx val="14"/>
          <c:order val="14"/>
          <c:tx>
            <c:strRef>
              <c:f>CALCS│Outcomes!$C$209</c:f>
              <c:strCache>
                <c:ptCount val="1"/>
                <c:pt idx="0">
                  <c:v>SEW</c:v>
                </c:pt>
              </c:strCache>
            </c:strRef>
          </c:tx>
          <c:spPr>
            <a:solidFill>
              <a:schemeClr val="accent6"/>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CALCS│Outcomes!$E$209:$L$209</c:f>
              <c:numCache>
                <c:formatCode>#,##0.00;\-#,##0.00;\-</c:formatCode>
                <c:ptCount val="8"/>
                <c:pt idx="0">
                  <c:v>11.8414164</c:v>
                </c:pt>
                <c:pt idx="1">
                  <c:v>14.614797600000003</c:v>
                </c:pt>
                <c:pt idx="2">
                  <c:v>7.8964559999999997</c:v>
                </c:pt>
                <c:pt idx="3">
                  <c:v>31.807157149999995</c:v>
                </c:pt>
                <c:pt idx="4">
                  <c:v>12.959623800000001</c:v>
                </c:pt>
                <c:pt idx="5">
                  <c:v>45.187738799999998</c:v>
                </c:pt>
                <c:pt idx="6">
                  <c:v>14.497986999999998</c:v>
                </c:pt>
                <c:pt idx="7">
                  <c:v>10.304390000000001</c:v>
                </c:pt>
              </c:numCache>
            </c:numRef>
          </c:val>
          <c:extLst xmlns:c16r2="http://schemas.microsoft.com/office/drawing/2015/06/chart">
            <c:ext xmlns:c16="http://schemas.microsoft.com/office/drawing/2014/chart" uri="{C3380CC4-5D6E-409C-BE32-E72D297353CC}">
              <c16:uniqueId val="{0000000E-F954-4887-903C-14980726B572}"/>
            </c:ext>
          </c:extLst>
        </c:ser>
        <c:ser>
          <c:idx val="15"/>
          <c:order val="15"/>
          <c:tx>
            <c:strRef>
              <c:f>CALCS│Outcomes!$C$210</c:f>
              <c:strCache>
                <c:ptCount val="1"/>
                <c:pt idx="0">
                  <c:v>SSC</c:v>
                </c:pt>
              </c:strCache>
            </c:strRef>
          </c:tx>
          <c:spPr>
            <a:solidFill>
              <a:srgbClr val="FEA38C"/>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CALCS│Outcomes!$E$210:$L$210</c:f>
              <c:numCache>
                <c:formatCode>#,##0.00;\-#,##0.00;\-</c:formatCode>
                <c:ptCount val="8"/>
                <c:pt idx="0">
                  <c:v>6.9182216646906154</c:v>
                </c:pt>
                <c:pt idx="1">
                  <c:v>6.429177000000001</c:v>
                </c:pt>
                <c:pt idx="2">
                  <c:v>5.9528675475753339</c:v>
                </c:pt>
                <c:pt idx="3">
                  <c:v>3.0688618666666665</c:v>
                </c:pt>
                <c:pt idx="4">
                  <c:v>3.7755784096000005</c:v>
                </c:pt>
                <c:pt idx="5">
                  <c:v>6.2782668702000004</c:v>
                </c:pt>
                <c:pt idx="6">
                  <c:v>5.2703651000000002</c:v>
                </c:pt>
                <c:pt idx="7">
                  <c:v>2.4878439999999999</c:v>
                </c:pt>
              </c:numCache>
            </c:numRef>
          </c:val>
          <c:extLst xmlns:c16r2="http://schemas.microsoft.com/office/drawing/2015/06/chart">
            <c:ext xmlns:c16="http://schemas.microsoft.com/office/drawing/2014/chart" uri="{C3380CC4-5D6E-409C-BE32-E72D297353CC}">
              <c16:uniqueId val="{0000000F-F954-4887-903C-14980726B572}"/>
            </c:ext>
          </c:extLst>
        </c:ser>
        <c:ser>
          <c:idx val="16"/>
          <c:order val="16"/>
          <c:tx>
            <c:strRef>
              <c:f>CALCS│Outcomes!$C$211</c:f>
              <c:strCache>
                <c:ptCount val="1"/>
                <c:pt idx="0">
                  <c:v>SES</c:v>
                </c:pt>
              </c:strCache>
            </c:strRef>
          </c:tx>
          <c:spPr>
            <a:solidFill>
              <a:srgbClr val="7030A0"/>
            </a:solidFill>
            <a:ln>
              <a:noFill/>
            </a:ln>
            <a:effectLst/>
          </c:spPr>
          <c:invertIfNegative val="0"/>
          <c:cat>
            <c:strRef>
              <c:f>CALCS│Outcomes!$E$2:$L$2</c:f>
              <c:strCache>
                <c:ptCount val="8"/>
                <c:pt idx="0">
                  <c:v>2012-13</c:v>
                </c:pt>
                <c:pt idx="1">
                  <c:v>2013-14</c:v>
                </c:pt>
                <c:pt idx="2">
                  <c:v>2014-15</c:v>
                </c:pt>
                <c:pt idx="3">
                  <c:v>2015-16</c:v>
                </c:pt>
                <c:pt idx="4">
                  <c:v>2016-17</c:v>
                </c:pt>
                <c:pt idx="5">
                  <c:v>2017-18</c:v>
                </c:pt>
                <c:pt idx="6">
                  <c:v>2018-19</c:v>
                </c:pt>
                <c:pt idx="7">
                  <c:v>2019-20</c:v>
                </c:pt>
              </c:strCache>
            </c:strRef>
          </c:cat>
          <c:val>
            <c:numRef>
              <c:f>CALCS│Outcomes!$E$211:$L$211</c:f>
              <c:numCache>
                <c:formatCode>#,##0.00;\-#,##0.00;\-</c:formatCode>
                <c:ptCount val="8"/>
                <c:pt idx="0">
                  <c:v>4.2302400000000011</c:v>
                </c:pt>
                <c:pt idx="1">
                  <c:v>3.8138956799999995</c:v>
                </c:pt>
                <c:pt idx="2">
                  <c:v>8.2256543999999998</c:v>
                </c:pt>
                <c:pt idx="3">
                  <c:v>1.72254</c:v>
                </c:pt>
                <c:pt idx="4">
                  <c:v>1.26436584</c:v>
                </c:pt>
                <c:pt idx="5">
                  <c:v>0.87405599999999994</c:v>
                </c:pt>
                <c:pt idx="6">
                  <c:v>4.7360214000000012</c:v>
                </c:pt>
                <c:pt idx="7">
                  <c:v>0.35421720000000007</c:v>
                </c:pt>
              </c:numCache>
            </c:numRef>
          </c:val>
          <c:extLst xmlns:c16r2="http://schemas.microsoft.com/office/drawing/2015/06/chart">
            <c:ext xmlns:c16="http://schemas.microsoft.com/office/drawing/2014/chart" uri="{C3380CC4-5D6E-409C-BE32-E72D297353CC}">
              <c16:uniqueId val="{00000010-F954-4887-903C-14980726B572}"/>
            </c:ext>
          </c:extLst>
        </c:ser>
        <c:dLbls>
          <c:showLegendKey val="0"/>
          <c:showVal val="0"/>
          <c:showCatName val="0"/>
          <c:showSerName val="0"/>
          <c:showPercent val="0"/>
          <c:showBubbleSize val="0"/>
        </c:dLbls>
        <c:gapWidth val="100"/>
        <c:overlap val="100"/>
        <c:axId val="418936776"/>
        <c:axId val="424755624"/>
      </c:barChart>
      <c:catAx>
        <c:axId val="418936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5624"/>
        <c:crosses val="autoZero"/>
        <c:auto val="1"/>
        <c:lblAlgn val="ctr"/>
        <c:lblOffset val="100"/>
        <c:noMultiLvlLbl val="0"/>
      </c:catAx>
      <c:valAx>
        <c:axId val="424755624"/>
        <c:scaling>
          <c:orientation val="minMax"/>
          <c:max val="6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Property minutes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936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CALCS│Outcomes!$C$243</c:f>
              <c:strCache>
                <c:ptCount val="1"/>
                <c:pt idx="0">
                  <c:v>ANH</c:v>
                </c:pt>
              </c:strCache>
            </c:strRef>
          </c:tx>
          <c:spPr>
            <a:solidFill>
              <a:schemeClr val="tx2"/>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CALCS│Outcomes!$E$243:$L$243</c:f>
              <c:numCache>
                <c:formatCode>#,##0;\-#,##0;\-</c:formatCode>
                <c:ptCount val="8"/>
                <c:pt idx="0">
                  <c:v>6975</c:v>
                </c:pt>
                <c:pt idx="1">
                  <c:v>6756</c:v>
                </c:pt>
                <c:pt idx="2">
                  <c:v>6566</c:v>
                </c:pt>
                <c:pt idx="3">
                  <c:v>6273</c:v>
                </c:pt>
                <c:pt idx="4">
                  <c:v>6308</c:v>
                </c:pt>
                <c:pt idx="5">
                  <c:v>5618</c:v>
                </c:pt>
                <c:pt idx="6">
                  <c:v>5418</c:v>
                </c:pt>
                <c:pt idx="7">
                  <c:v>5309</c:v>
                </c:pt>
              </c:numCache>
            </c:numRef>
          </c:val>
          <c:extLst xmlns:c16r2="http://schemas.microsoft.com/office/drawing/2015/06/chart">
            <c:ext xmlns:c16="http://schemas.microsoft.com/office/drawing/2014/chart" uri="{C3380CC4-5D6E-409C-BE32-E72D297353CC}">
              <c16:uniqueId val="{00000000-E2ED-4395-ADC6-30FA7915681E}"/>
            </c:ext>
          </c:extLst>
        </c:ser>
        <c:ser>
          <c:idx val="1"/>
          <c:order val="1"/>
          <c:tx>
            <c:strRef>
              <c:f>CALCS│Outcomes!$C$244</c:f>
              <c:strCache>
                <c:ptCount val="1"/>
                <c:pt idx="0">
                  <c:v>WSH</c:v>
                </c:pt>
              </c:strCache>
            </c:strRef>
          </c:tx>
          <c:spPr>
            <a:solidFill>
              <a:schemeClr val="accent1"/>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CALCS│Outcomes!$E$244:$L$244</c:f>
              <c:numCache>
                <c:formatCode>#,##0;\-#,##0;\-</c:formatCode>
                <c:ptCount val="8"/>
                <c:pt idx="0">
                  <c:v>9745</c:v>
                </c:pt>
                <c:pt idx="1">
                  <c:v>11553</c:v>
                </c:pt>
                <c:pt idx="2">
                  <c:v>10843</c:v>
                </c:pt>
                <c:pt idx="3">
                  <c:v>9964</c:v>
                </c:pt>
                <c:pt idx="4">
                  <c:v>10483</c:v>
                </c:pt>
                <c:pt idx="5">
                  <c:v>10210</c:v>
                </c:pt>
                <c:pt idx="6">
                  <c:v>10574</c:v>
                </c:pt>
                <c:pt idx="7">
                  <c:v>9167</c:v>
                </c:pt>
              </c:numCache>
            </c:numRef>
          </c:val>
          <c:extLst xmlns:c16r2="http://schemas.microsoft.com/office/drawing/2015/06/chart">
            <c:ext xmlns:c16="http://schemas.microsoft.com/office/drawing/2014/chart" uri="{C3380CC4-5D6E-409C-BE32-E72D297353CC}">
              <c16:uniqueId val="{00000001-E2ED-4395-ADC6-30FA7915681E}"/>
            </c:ext>
          </c:extLst>
        </c:ser>
        <c:ser>
          <c:idx val="2"/>
          <c:order val="2"/>
          <c:tx>
            <c:strRef>
              <c:f>CALCS│Outcomes!$C$245</c:f>
              <c:strCache>
                <c:ptCount val="1"/>
                <c:pt idx="0">
                  <c:v>HDD</c:v>
                </c:pt>
              </c:strCache>
            </c:strRef>
          </c:tx>
          <c:spPr>
            <a:solidFill>
              <a:schemeClr val="tx1"/>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CALCS│Outcomes!$E$245:$L$245</c:f>
              <c:numCache>
                <c:formatCode>#,##0;\-#,##0;\-</c:formatCode>
                <c:ptCount val="8"/>
                <c:pt idx="0">
                  <c:v>1312</c:v>
                </c:pt>
                <c:pt idx="1">
                  <c:v>1671</c:v>
                </c:pt>
                <c:pt idx="2">
                  <c:v>975</c:v>
                </c:pt>
                <c:pt idx="3">
                  <c:v>713</c:v>
                </c:pt>
                <c:pt idx="4">
                  <c:v>707</c:v>
                </c:pt>
                <c:pt idx="5">
                  <c:v>551</c:v>
                </c:pt>
                <c:pt idx="6">
                  <c:v>601</c:v>
                </c:pt>
                <c:pt idx="7">
                  <c:v>508</c:v>
                </c:pt>
              </c:numCache>
            </c:numRef>
          </c:val>
          <c:extLst xmlns:c16r2="http://schemas.microsoft.com/office/drawing/2015/06/chart">
            <c:ext xmlns:c16="http://schemas.microsoft.com/office/drawing/2014/chart" uri="{C3380CC4-5D6E-409C-BE32-E72D297353CC}">
              <c16:uniqueId val="{00000002-E2ED-4395-ADC6-30FA7915681E}"/>
            </c:ext>
          </c:extLst>
        </c:ser>
        <c:ser>
          <c:idx val="3"/>
          <c:order val="3"/>
          <c:tx>
            <c:strRef>
              <c:f>CALCS│Outcomes!$C$246</c:f>
              <c:strCache>
                <c:ptCount val="1"/>
                <c:pt idx="0">
                  <c:v>NES</c:v>
                </c:pt>
              </c:strCache>
            </c:strRef>
          </c:tx>
          <c:spPr>
            <a:solidFill>
              <a:srgbClr val="7FBBE4"/>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CALCS│Outcomes!$E$246:$L$246</c:f>
              <c:numCache>
                <c:formatCode>#,##0;\-#,##0;\-</c:formatCode>
                <c:ptCount val="8"/>
                <c:pt idx="0">
                  <c:v>8509</c:v>
                </c:pt>
                <c:pt idx="1">
                  <c:v>8109</c:v>
                </c:pt>
                <c:pt idx="2">
                  <c:v>7189</c:v>
                </c:pt>
                <c:pt idx="3">
                  <c:v>6223</c:v>
                </c:pt>
                <c:pt idx="4">
                  <c:v>6515</c:v>
                </c:pt>
                <c:pt idx="5">
                  <c:v>5840</c:v>
                </c:pt>
                <c:pt idx="6">
                  <c:v>5898</c:v>
                </c:pt>
                <c:pt idx="7">
                  <c:v>4828</c:v>
                </c:pt>
              </c:numCache>
            </c:numRef>
          </c:val>
          <c:extLst xmlns:c16r2="http://schemas.microsoft.com/office/drawing/2015/06/chart">
            <c:ext xmlns:c16="http://schemas.microsoft.com/office/drawing/2014/chart" uri="{C3380CC4-5D6E-409C-BE32-E72D297353CC}">
              <c16:uniqueId val="{00000003-E2ED-4395-ADC6-30FA7915681E}"/>
            </c:ext>
          </c:extLst>
        </c:ser>
        <c:ser>
          <c:idx val="4"/>
          <c:order val="4"/>
          <c:tx>
            <c:strRef>
              <c:f>CALCS│Outcomes!$C$247</c:f>
              <c:strCache>
                <c:ptCount val="1"/>
                <c:pt idx="0">
                  <c:v>SVE</c:v>
                </c:pt>
              </c:strCache>
            </c:strRef>
          </c:tx>
          <c:spPr>
            <a:solidFill>
              <a:srgbClr val="BFDDF1"/>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CALCS│Outcomes!$E$247:$L$247</c:f>
              <c:numCache>
                <c:formatCode>#,##0;\-#,##0;\-</c:formatCode>
                <c:ptCount val="8"/>
                <c:pt idx="0">
                  <c:v>13057</c:v>
                </c:pt>
                <c:pt idx="1">
                  <c:v>14052</c:v>
                </c:pt>
                <c:pt idx="2">
                  <c:v>14936</c:v>
                </c:pt>
                <c:pt idx="3">
                  <c:v>14680</c:v>
                </c:pt>
                <c:pt idx="4">
                  <c:v>15336</c:v>
                </c:pt>
                <c:pt idx="5">
                  <c:v>13359</c:v>
                </c:pt>
                <c:pt idx="6">
                  <c:v>12736</c:v>
                </c:pt>
                <c:pt idx="7">
                  <c:v>10984</c:v>
                </c:pt>
              </c:numCache>
            </c:numRef>
          </c:val>
          <c:extLst xmlns:c16r2="http://schemas.microsoft.com/office/drawing/2015/06/chart">
            <c:ext xmlns:c16="http://schemas.microsoft.com/office/drawing/2014/chart" uri="{C3380CC4-5D6E-409C-BE32-E72D297353CC}">
              <c16:uniqueId val="{00000004-E2ED-4395-ADC6-30FA7915681E}"/>
            </c:ext>
          </c:extLst>
        </c:ser>
        <c:ser>
          <c:idx val="5"/>
          <c:order val="5"/>
          <c:tx>
            <c:strRef>
              <c:f>CALCS│Outcomes!$C$248</c:f>
              <c:strCache>
                <c:ptCount val="1"/>
                <c:pt idx="0">
                  <c:v>SWB</c:v>
                </c:pt>
              </c:strCache>
            </c:strRef>
          </c:tx>
          <c:spPr>
            <a:solidFill>
              <a:schemeClr val="accent5"/>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CALCS│Outcomes!$E$248:$L$248</c:f>
              <c:numCache>
                <c:formatCode>#,##0;\-#,##0;\-</c:formatCode>
                <c:ptCount val="8"/>
                <c:pt idx="0">
                  <c:v>9910</c:v>
                </c:pt>
                <c:pt idx="1">
                  <c:v>10348</c:v>
                </c:pt>
                <c:pt idx="2">
                  <c:v>7183</c:v>
                </c:pt>
                <c:pt idx="3">
                  <c:v>6414</c:v>
                </c:pt>
                <c:pt idx="4">
                  <c:v>6000</c:v>
                </c:pt>
                <c:pt idx="5">
                  <c:v>5258</c:v>
                </c:pt>
                <c:pt idx="6">
                  <c:v>5231</c:v>
                </c:pt>
                <c:pt idx="7">
                  <c:v>4546</c:v>
                </c:pt>
              </c:numCache>
            </c:numRef>
          </c:val>
          <c:extLst xmlns:c16r2="http://schemas.microsoft.com/office/drawing/2015/06/chart">
            <c:ext xmlns:c16="http://schemas.microsoft.com/office/drawing/2014/chart" uri="{C3380CC4-5D6E-409C-BE32-E72D297353CC}">
              <c16:uniqueId val="{00000005-E2ED-4395-ADC6-30FA7915681E}"/>
            </c:ext>
          </c:extLst>
        </c:ser>
        <c:ser>
          <c:idx val="6"/>
          <c:order val="6"/>
          <c:tx>
            <c:strRef>
              <c:f>CALCS│Outcomes!$C$249</c:f>
              <c:strCache>
                <c:ptCount val="1"/>
                <c:pt idx="0">
                  <c:v>SRN</c:v>
                </c:pt>
              </c:strCache>
            </c:strRef>
          </c:tx>
          <c:spPr>
            <a:solidFill>
              <a:srgbClr val="E47FC1"/>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CALCS│Outcomes!$E$249:$L$249</c:f>
              <c:numCache>
                <c:formatCode>#,##0;\-#,##0;\-</c:formatCode>
                <c:ptCount val="8"/>
                <c:pt idx="0">
                  <c:v>3768</c:v>
                </c:pt>
                <c:pt idx="1">
                  <c:v>3576</c:v>
                </c:pt>
                <c:pt idx="2">
                  <c:v>3527</c:v>
                </c:pt>
                <c:pt idx="3">
                  <c:v>3193</c:v>
                </c:pt>
                <c:pt idx="4">
                  <c:v>3626</c:v>
                </c:pt>
                <c:pt idx="5">
                  <c:v>3491</c:v>
                </c:pt>
                <c:pt idx="6">
                  <c:v>3172</c:v>
                </c:pt>
                <c:pt idx="7">
                  <c:v>3074</c:v>
                </c:pt>
              </c:numCache>
            </c:numRef>
          </c:val>
          <c:extLst xmlns:c16r2="http://schemas.microsoft.com/office/drawing/2015/06/chart">
            <c:ext xmlns:c16="http://schemas.microsoft.com/office/drawing/2014/chart" uri="{C3380CC4-5D6E-409C-BE32-E72D297353CC}">
              <c16:uniqueId val="{00000006-E2ED-4395-ADC6-30FA7915681E}"/>
            </c:ext>
          </c:extLst>
        </c:ser>
        <c:ser>
          <c:idx val="7"/>
          <c:order val="7"/>
          <c:tx>
            <c:strRef>
              <c:f>CALCS│Outcomes!$C$250</c:f>
              <c:strCache>
                <c:ptCount val="1"/>
                <c:pt idx="0">
                  <c:v>TMS</c:v>
                </c:pt>
              </c:strCache>
            </c:strRef>
          </c:tx>
          <c:spPr>
            <a:solidFill>
              <a:schemeClr val="accent4"/>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CALCS│Outcomes!$E$250:$L$250</c:f>
              <c:numCache>
                <c:formatCode>#,##0;\-#,##0;\-</c:formatCode>
                <c:ptCount val="8"/>
                <c:pt idx="0">
                  <c:v>6022</c:v>
                </c:pt>
                <c:pt idx="1">
                  <c:v>5422</c:v>
                </c:pt>
                <c:pt idx="2">
                  <c:v>5318</c:v>
                </c:pt>
                <c:pt idx="3">
                  <c:v>6021</c:v>
                </c:pt>
                <c:pt idx="4">
                  <c:v>5831</c:v>
                </c:pt>
                <c:pt idx="5">
                  <c:v>5774</c:v>
                </c:pt>
                <c:pt idx="6">
                  <c:v>6105</c:v>
                </c:pt>
                <c:pt idx="7">
                  <c:v>6302</c:v>
                </c:pt>
              </c:numCache>
            </c:numRef>
          </c:val>
          <c:extLst xmlns:c16r2="http://schemas.microsoft.com/office/drawing/2015/06/chart">
            <c:ext xmlns:c16="http://schemas.microsoft.com/office/drawing/2014/chart" uri="{C3380CC4-5D6E-409C-BE32-E72D297353CC}">
              <c16:uniqueId val="{00000007-E2ED-4395-ADC6-30FA7915681E}"/>
            </c:ext>
          </c:extLst>
        </c:ser>
        <c:ser>
          <c:idx val="8"/>
          <c:order val="8"/>
          <c:tx>
            <c:strRef>
              <c:f>CALCS│Outcomes!$C$251</c:f>
              <c:strCache>
                <c:ptCount val="1"/>
                <c:pt idx="0">
                  <c:v>UU</c:v>
                </c:pt>
              </c:strCache>
            </c:strRef>
          </c:tx>
          <c:spPr>
            <a:solidFill>
              <a:srgbClr val="95B040"/>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CALCS│Outcomes!$E$251:$L$251</c:f>
              <c:numCache>
                <c:formatCode>#,##0;\-#,##0;\-</c:formatCode>
                <c:ptCount val="8"/>
                <c:pt idx="0">
                  <c:v>15740</c:v>
                </c:pt>
                <c:pt idx="1">
                  <c:v>14566</c:v>
                </c:pt>
                <c:pt idx="2">
                  <c:v>13980</c:v>
                </c:pt>
                <c:pt idx="3">
                  <c:v>12635</c:v>
                </c:pt>
                <c:pt idx="4">
                  <c:v>12913</c:v>
                </c:pt>
                <c:pt idx="5">
                  <c:v>15341</c:v>
                </c:pt>
                <c:pt idx="6">
                  <c:v>14871</c:v>
                </c:pt>
                <c:pt idx="7">
                  <c:v>13950</c:v>
                </c:pt>
              </c:numCache>
            </c:numRef>
          </c:val>
          <c:extLst xmlns:c16r2="http://schemas.microsoft.com/office/drawing/2015/06/chart">
            <c:ext xmlns:c16="http://schemas.microsoft.com/office/drawing/2014/chart" uri="{C3380CC4-5D6E-409C-BE32-E72D297353CC}">
              <c16:uniqueId val="{00000008-E2ED-4395-ADC6-30FA7915681E}"/>
            </c:ext>
          </c:extLst>
        </c:ser>
        <c:ser>
          <c:idx val="9"/>
          <c:order val="9"/>
          <c:tx>
            <c:strRef>
              <c:f>CALCS│Outcomes!$C$252</c:f>
              <c:strCache>
                <c:ptCount val="1"/>
                <c:pt idx="0">
                  <c:v>WSX</c:v>
                </c:pt>
              </c:strCache>
            </c:strRef>
          </c:tx>
          <c:spPr>
            <a:solidFill>
              <a:schemeClr val="accent3"/>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CALCS│Outcomes!$E$252:$L$252</c:f>
              <c:numCache>
                <c:formatCode>#,##0;\-#,##0;\-</c:formatCode>
                <c:ptCount val="8"/>
                <c:pt idx="0">
                  <c:v>3050</c:v>
                </c:pt>
                <c:pt idx="1">
                  <c:v>2893</c:v>
                </c:pt>
                <c:pt idx="2">
                  <c:v>3006</c:v>
                </c:pt>
                <c:pt idx="3">
                  <c:v>2431</c:v>
                </c:pt>
                <c:pt idx="4">
                  <c:v>2172</c:v>
                </c:pt>
                <c:pt idx="5">
                  <c:v>2031</c:v>
                </c:pt>
                <c:pt idx="6">
                  <c:v>2010</c:v>
                </c:pt>
                <c:pt idx="7">
                  <c:v>2097</c:v>
                </c:pt>
              </c:numCache>
            </c:numRef>
          </c:val>
          <c:extLst xmlns:c16r2="http://schemas.microsoft.com/office/drawing/2015/06/chart">
            <c:ext xmlns:c16="http://schemas.microsoft.com/office/drawing/2014/chart" uri="{C3380CC4-5D6E-409C-BE32-E72D297353CC}">
              <c16:uniqueId val="{00000009-E2ED-4395-ADC6-30FA7915681E}"/>
            </c:ext>
          </c:extLst>
        </c:ser>
        <c:ser>
          <c:idx val="10"/>
          <c:order val="10"/>
          <c:tx>
            <c:strRef>
              <c:f>CALCS│Outcomes!$C$253</c:f>
              <c:strCache>
                <c:ptCount val="1"/>
                <c:pt idx="0">
                  <c:v>YKY</c:v>
                </c:pt>
              </c:strCache>
            </c:strRef>
          </c:tx>
          <c:spPr>
            <a:solidFill>
              <a:srgbClr val="F9D47F"/>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CALCS│Outcomes!$E$253:$L$253</c:f>
              <c:numCache>
                <c:formatCode>#,##0;\-#,##0;\-</c:formatCode>
                <c:ptCount val="8"/>
                <c:pt idx="0">
                  <c:v>11506</c:v>
                </c:pt>
                <c:pt idx="1">
                  <c:v>12879</c:v>
                </c:pt>
                <c:pt idx="2">
                  <c:v>10406</c:v>
                </c:pt>
                <c:pt idx="3">
                  <c:v>10082</c:v>
                </c:pt>
                <c:pt idx="4">
                  <c:v>9673</c:v>
                </c:pt>
                <c:pt idx="5">
                  <c:v>7913</c:v>
                </c:pt>
                <c:pt idx="6">
                  <c:v>8298</c:v>
                </c:pt>
                <c:pt idx="7">
                  <c:v>6573</c:v>
                </c:pt>
              </c:numCache>
            </c:numRef>
          </c:val>
          <c:extLst xmlns:c16r2="http://schemas.microsoft.com/office/drawing/2015/06/chart">
            <c:ext xmlns:c16="http://schemas.microsoft.com/office/drawing/2014/chart" uri="{C3380CC4-5D6E-409C-BE32-E72D297353CC}">
              <c16:uniqueId val="{0000000A-E2ED-4395-ADC6-30FA7915681E}"/>
            </c:ext>
          </c:extLst>
        </c:ser>
        <c:ser>
          <c:idx val="11"/>
          <c:order val="11"/>
          <c:tx>
            <c:strRef>
              <c:f>CALCS│Outcomes!$C$254</c:f>
              <c:strCache>
                <c:ptCount val="1"/>
                <c:pt idx="0">
                  <c:v>AFW</c:v>
                </c:pt>
              </c:strCache>
            </c:strRef>
          </c:tx>
          <c:spPr>
            <a:solidFill>
              <a:srgbClr val="FCEABF"/>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CALCS│Outcomes!$E$254:$L$254</c:f>
              <c:numCache>
                <c:formatCode>#,##0;\-#,##0;\-</c:formatCode>
                <c:ptCount val="8"/>
                <c:pt idx="0">
                  <c:v>3730</c:v>
                </c:pt>
                <c:pt idx="1">
                  <c:v>3783</c:v>
                </c:pt>
                <c:pt idx="2">
                  <c:v>3743</c:v>
                </c:pt>
                <c:pt idx="3">
                  <c:v>3552</c:v>
                </c:pt>
                <c:pt idx="4">
                  <c:v>3526</c:v>
                </c:pt>
                <c:pt idx="5">
                  <c:v>3070</c:v>
                </c:pt>
                <c:pt idx="6">
                  <c:v>3093</c:v>
                </c:pt>
                <c:pt idx="7">
                  <c:v>3066</c:v>
                </c:pt>
              </c:numCache>
            </c:numRef>
          </c:val>
          <c:extLst xmlns:c16r2="http://schemas.microsoft.com/office/drawing/2015/06/chart">
            <c:ext xmlns:c16="http://schemas.microsoft.com/office/drawing/2014/chart" uri="{C3380CC4-5D6E-409C-BE32-E72D297353CC}">
              <c16:uniqueId val="{0000000B-E2ED-4395-ADC6-30FA7915681E}"/>
            </c:ext>
          </c:extLst>
        </c:ser>
        <c:ser>
          <c:idx val="12"/>
          <c:order val="12"/>
          <c:tx>
            <c:strRef>
              <c:f>CALCS│Outcomes!$C$255</c:f>
              <c:strCache>
                <c:ptCount val="1"/>
                <c:pt idx="0">
                  <c:v>BRL</c:v>
                </c:pt>
              </c:strCache>
            </c:strRef>
          </c:tx>
          <c:spPr>
            <a:solidFill>
              <a:schemeClr val="accent2"/>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CALCS│Outcomes!$E$255:$L$255</c:f>
              <c:numCache>
                <c:formatCode>#,##0;\-#,##0;\-</c:formatCode>
                <c:ptCount val="8"/>
                <c:pt idx="0">
                  <c:v>2588</c:v>
                </c:pt>
                <c:pt idx="1">
                  <c:v>2320</c:v>
                </c:pt>
                <c:pt idx="2">
                  <c:v>2660</c:v>
                </c:pt>
                <c:pt idx="3">
                  <c:v>2427</c:v>
                </c:pt>
                <c:pt idx="4">
                  <c:v>2275</c:v>
                </c:pt>
                <c:pt idx="5">
                  <c:v>1800</c:v>
                </c:pt>
                <c:pt idx="6">
                  <c:v>2019</c:v>
                </c:pt>
                <c:pt idx="7">
                  <c:v>1766</c:v>
                </c:pt>
              </c:numCache>
            </c:numRef>
          </c:val>
          <c:extLst xmlns:c16r2="http://schemas.microsoft.com/office/drawing/2015/06/chart">
            <c:ext xmlns:c16="http://schemas.microsoft.com/office/drawing/2014/chart" uri="{C3380CC4-5D6E-409C-BE32-E72D297353CC}">
              <c16:uniqueId val="{0000000C-E2ED-4395-ADC6-30FA7915681E}"/>
            </c:ext>
          </c:extLst>
        </c:ser>
        <c:ser>
          <c:idx val="13"/>
          <c:order val="13"/>
          <c:tx>
            <c:strRef>
              <c:f>CALCS│Outcomes!$C$256</c:f>
              <c:strCache>
                <c:ptCount val="1"/>
                <c:pt idx="0">
                  <c:v>PRT</c:v>
                </c:pt>
              </c:strCache>
            </c:strRef>
          </c:tx>
          <c:spPr>
            <a:solidFill>
              <a:srgbClr val="E0DCD8"/>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CALCS│Outcomes!$E$256:$L$256</c:f>
              <c:numCache>
                <c:formatCode>#,##0;\-#,##0;\-</c:formatCode>
                <c:ptCount val="8"/>
                <c:pt idx="0">
                  <c:v>365</c:v>
                </c:pt>
                <c:pt idx="1">
                  <c:v>307</c:v>
                </c:pt>
                <c:pt idx="2">
                  <c:v>583</c:v>
                </c:pt>
                <c:pt idx="3">
                  <c:v>398</c:v>
                </c:pt>
                <c:pt idx="4">
                  <c:v>468</c:v>
                </c:pt>
                <c:pt idx="5">
                  <c:v>389</c:v>
                </c:pt>
                <c:pt idx="6">
                  <c:v>312</c:v>
                </c:pt>
                <c:pt idx="7">
                  <c:v>282</c:v>
                </c:pt>
              </c:numCache>
            </c:numRef>
          </c:val>
          <c:extLst xmlns:c16r2="http://schemas.microsoft.com/office/drawing/2015/06/chart">
            <c:ext xmlns:c16="http://schemas.microsoft.com/office/drawing/2014/chart" uri="{C3380CC4-5D6E-409C-BE32-E72D297353CC}">
              <c16:uniqueId val="{0000000D-E2ED-4395-ADC6-30FA7915681E}"/>
            </c:ext>
          </c:extLst>
        </c:ser>
        <c:ser>
          <c:idx val="14"/>
          <c:order val="14"/>
          <c:tx>
            <c:strRef>
              <c:f>CALCS│Outcomes!$C$257</c:f>
              <c:strCache>
                <c:ptCount val="1"/>
                <c:pt idx="0">
                  <c:v>SEW</c:v>
                </c:pt>
              </c:strCache>
            </c:strRef>
          </c:tx>
          <c:spPr>
            <a:solidFill>
              <a:schemeClr val="accent6"/>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CALCS│Outcomes!$E$257:$L$257</c:f>
              <c:numCache>
                <c:formatCode>#,##0;\-#,##0;\-</c:formatCode>
                <c:ptCount val="8"/>
                <c:pt idx="0">
                  <c:v>4983</c:v>
                </c:pt>
                <c:pt idx="1">
                  <c:v>5023</c:v>
                </c:pt>
                <c:pt idx="2">
                  <c:v>5012</c:v>
                </c:pt>
                <c:pt idx="3">
                  <c:v>4609</c:v>
                </c:pt>
                <c:pt idx="4">
                  <c:v>4255</c:v>
                </c:pt>
                <c:pt idx="5">
                  <c:v>4087</c:v>
                </c:pt>
                <c:pt idx="6">
                  <c:v>3320</c:v>
                </c:pt>
                <c:pt idx="7">
                  <c:v>3067</c:v>
                </c:pt>
              </c:numCache>
            </c:numRef>
          </c:val>
          <c:extLst xmlns:c16r2="http://schemas.microsoft.com/office/drawing/2015/06/chart">
            <c:ext xmlns:c16="http://schemas.microsoft.com/office/drawing/2014/chart" uri="{C3380CC4-5D6E-409C-BE32-E72D297353CC}">
              <c16:uniqueId val="{0000000E-E2ED-4395-ADC6-30FA7915681E}"/>
            </c:ext>
          </c:extLst>
        </c:ser>
        <c:ser>
          <c:idx val="15"/>
          <c:order val="15"/>
          <c:tx>
            <c:strRef>
              <c:f>CALCS│Outcomes!$C$258</c:f>
              <c:strCache>
                <c:ptCount val="1"/>
                <c:pt idx="0">
                  <c:v>SSC</c:v>
                </c:pt>
              </c:strCache>
            </c:strRef>
          </c:tx>
          <c:spPr>
            <a:solidFill>
              <a:srgbClr val="FEA38C"/>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CALCS│Outcomes!$E$258:$L$258</c:f>
              <c:numCache>
                <c:formatCode>#,##0;\-#,##0;\-</c:formatCode>
                <c:ptCount val="8"/>
                <c:pt idx="0">
                  <c:v>2899</c:v>
                </c:pt>
                <c:pt idx="1">
                  <c:v>3025</c:v>
                </c:pt>
                <c:pt idx="2">
                  <c:v>2532</c:v>
                </c:pt>
                <c:pt idx="3">
                  <c:v>3176</c:v>
                </c:pt>
                <c:pt idx="4">
                  <c:v>2712</c:v>
                </c:pt>
                <c:pt idx="5">
                  <c:v>2354</c:v>
                </c:pt>
                <c:pt idx="6">
                  <c:v>2513</c:v>
                </c:pt>
                <c:pt idx="7">
                  <c:v>2002</c:v>
                </c:pt>
              </c:numCache>
            </c:numRef>
          </c:val>
          <c:extLst xmlns:c16r2="http://schemas.microsoft.com/office/drawing/2015/06/chart">
            <c:ext xmlns:c16="http://schemas.microsoft.com/office/drawing/2014/chart" uri="{C3380CC4-5D6E-409C-BE32-E72D297353CC}">
              <c16:uniqueId val="{0000000F-E2ED-4395-ADC6-30FA7915681E}"/>
            </c:ext>
          </c:extLst>
        </c:ser>
        <c:ser>
          <c:idx val="16"/>
          <c:order val="16"/>
          <c:tx>
            <c:strRef>
              <c:f>CALCS│Outcomes!$C$259</c:f>
              <c:strCache>
                <c:ptCount val="1"/>
                <c:pt idx="0">
                  <c:v>SES</c:v>
                </c:pt>
              </c:strCache>
            </c:strRef>
          </c:tx>
          <c:spPr>
            <a:solidFill>
              <a:srgbClr val="7030A0"/>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CALCS│Outcomes!$E$259:$L$259</c:f>
              <c:numCache>
                <c:formatCode>#,##0;\-#,##0;\-</c:formatCode>
                <c:ptCount val="8"/>
                <c:pt idx="0">
                  <c:v>386</c:v>
                </c:pt>
                <c:pt idx="1">
                  <c:v>346</c:v>
                </c:pt>
                <c:pt idx="2">
                  <c:v>559</c:v>
                </c:pt>
                <c:pt idx="3">
                  <c:v>437</c:v>
                </c:pt>
                <c:pt idx="4">
                  <c:v>389</c:v>
                </c:pt>
                <c:pt idx="5">
                  <c:v>383</c:v>
                </c:pt>
                <c:pt idx="6">
                  <c:v>403</c:v>
                </c:pt>
                <c:pt idx="7">
                  <c:v>343</c:v>
                </c:pt>
              </c:numCache>
            </c:numRef>
          </c:val>
          <c:extLst xmlns:c16r2="http://schemas.microsoft.com/office/drawing/2015/06/chart">
            <c:ext xmlns:c16="http://schemas.microsoft.com/office/drawing/2014/chart" uri="{C3380CC4-5D6E-409C-BE32-E72D297353CC}">
              <c16:uniqueId val="{00000010-E2ED-4395-ADC6-30FA7915681E}"/>
            </c:ext>
          </c:extLst>
        </c:ser>
        <c:dLbls>
          <c:showLegendKey val="0"/>
          <c:showVal val="0"/>
          <c:showCatName val="0"/>
          <c:showSerName val="0"/>
          <c:showPercent val="0"/>
          <c:showBubbleSize val="0"/>
        </c:dLbls>
        <c:gapWidth val="100"/>
        <c:overlap val="100"/>
        <c:axId val="424756016"/>
        <c:axId val="424757192"/>
      </c:barChart>
      <c:catAx>
        <c:axId val="42475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7192"/>
        <c:crosses val="autoZero"/>
        <c:auto val="1"/>
        <c:lblAlgn val="ctr"/>
        <c:lblOffset val="100"/>
        <c:noMultiLvlLbl val="0"/>
      </c:catAx>
      <c:valAx>
        <c:axId val="424757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Water Quality Contacts (000s)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6016"/>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'OUTPUT│Outcomes Trends'!$C$363</c:f>
              <c:strCache>
                <c:ptCount val="1"/>
                <c:pt idx="0">
                  <c:v>ANH</c:v>
                </c:pt>
              </c:strCache>
            </c:strRef>
          </c:tx>
          <c:spPr>
            <a:solidFill>
              <a:schemeClr val="tx2"/>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Trends'!$D$363:$K$363</c:f>
              <c:numCache>
                <c:formatCode>#,##0</c:formatCode>
                <c:ptCount val="8"/>
                <c:pt idx="0">
                  <c:v>446</c:v>
                </c:pt>
                <c:pt idx="1">
                  <c:v>392</c:v>
                </c:pt>
                <c:pt idx="2">
                  <c:v>394</c:v>
                </c:pt>
                <c:pt idx="3">
                  <c:v>152</c:v>
                </c:pt>
                <c:pt idx="4">
                  <c:v>220</c:v>
                </c:pt>
                <c:pt idx="5">
                  <c:v>224</c:v>
                </c:pt>
                <c:pt idx="6">
                  <c:v>189</c:v>
                </c:pt>
                <c:pt idx="7">
                  <c:v>265</c:v>
                </c:pt>
              </c:numCache>
            </c:numRef>
          </c:val>
          <c:extLst xmlns:c16r2="http://schemas.microsoft.com/office/drawing/2015/06/chart">
            <c:ext xmlns:c16="http://schemas.microsoft.com/office/drawing/2014/chart" uri="{C3380CC4-5D6E-409C-BE32-E72D297353CC}">
              <c16:uniqueId val="{00000000-3525-4E97-9332-0824EB5839B3}"/>
            </c:ext>
          </c:extLst>
        </c:ser>
        <c:ser>
          <c:idx val="1"/>
          <c:order val="1"/>
          <c:tx>
            <c:strRef>
              <c:f>'OUTPUT│Outcomes Trends'!$C$364</c:f>
              <c:strCache>
                <c:ptCount val="1"/>
                <c:pt idx="0">
                  <c:v>WSH</c:v>
                </c:pt>
              </c:strCache>
            </c:strRef>
          </c:tx>
          <c:spPr>
            <a:solidFill>
              <a:schemeClr val="accent1"/>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Trends'!$D$364:$K$364</c:f>
              <c:numCache>
                <c:formatCode>#,##0</c:formatCode>
                <c:ptCount val="8"/>
                <c:pt idx="0">
                  <c:v>199</c:v>
                </c:pt>
                <c:pt idx="1">
                  <c:v>122</c:v>
                </c:pt>
                <c:pt idx="2">
                  <c:v>108</c:v>
                </c:pt>
                <c:pt idx="3">
                  <c:v>109</c:v>
                </c:pt>
                <c:pt idx="4">
                  <c:v>107</c:v>
                </c:pt>
                <c:pt idx="5">
                  <c:v>103</c:v>
                </c:pt>
                <c:pt idx="6">
                  <c:v>101</c:v>
                </c:pt>
                <c:pt idx="7">
                  <c:v>94</c:v>
                </c:pt>
              </c:numCache>
            </c:numRef>
          </c:val>
          <c:extLst xmlns:c16r2="http://schemas.microsoft.com/office/drawing/2015/06/chart">
            <c:ext xmlns:c16="http://schemas.microsoft.com/office/drawing/2014/chart" uri="{C3380CC4-5D6E-409C-BE32-E72D297353CC}">
              <c16:uniqueId val="{00000001-3525-4E97-9332-0824EB5839B3}"/>
            </c:ext>
          </c:extLst>
        </c:ser>
        <c:ser>
          <c:idx val="2"/>
          <c:order val="2"/>
          <c:tx>
            <c:strRef>
              <c:f>'OUTPUT│Outcomes Trends'!$C$365</c:f>
              <c:strCache>
                <c:ptCount val="1"/>
                <c:pt idx="0">
                  <c:v>NES</c:v>
                </c:pt>
              </c:strCache>
            </c:strRef>
          </c:tx>
          <c:spPr>
            <a:solidFill>
              <a:srgbClr val="7FBBE4"/>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Trends'!$D$365:$K$365</c:f>
              <c:numCache>
                <c:formatCode>#,##0</c:formatCode>
                <c:ptCount val="8"/>
                <c:pt idx="0">
                  <c:v>192</c:v>
                </c:pt>
                <c:pt idx="1">
                  <c:v>127</c:v>
                </c:pt>
                <c:pt idx="2">
                  <c:v>87</c:v>
                </c:pt>
                <c:pt idx="3">
                  <c:v>156</c:v>
                </c:pt>
                <c:pt idx="4">
                  <c:v>110</c:v>
                </c:pt>
                <c:pt idx="5">
                  <c:v>50</c:v>
                </c:pt>
                <c:pt idx="6">
                  <c:v>37</c:v>
                </c:pt>
                <c:pt idx="7">
                  <c:v>46</c:v>
                </c:pt>
              </c:numCache>
            </c:numRef>
          </c:val>
          <c:extLst xmlns:c16r2="http://schemas.microsoft.com/office/drawing/2015/06/chart">
            <c:ext xmlns:c16="http://schemas.microsoft.com/office/drawing/2014/chart" uri="{C3380CC4-5D6E-409C-BE32-E72D297353CC}">
              <c16:uniqueId val="{00000002-3525-4E97-9332-0824EB5839B3}"/>
            </c:ext>
          </c:extLst>
        </c:ser>
        <c:ser>
          <c:idx val="3"/>
          <c:order val="3"/>
          <c:tx>
            <c:strRef>
              <c:f>'OUTPUT│Outcomes Trends'!$C$366</c:f>
              <c:strCache>
                <c:ptCount val="1"/>
                <c:pt idx="0">
                  <c:v>SVE + HDD</c:v>
                </c:pt>
              </c:strCache>
            </c:strRef>
          </c:tx>
          <c:spPr>
            <a:solidFill>
              <a:srgbClr val="BFDDF1"/>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Trends'!$D$366:$K$366</c:f>
              <c:numCache>
                <c:formatCode>#,##0</c:formatCode>
                <c:ptCount val="8"/>
                <c:pt idx="0">
                  <c:v>365</c:v>
                </c:pt>
                <c:pt idx="1">
                  <c:v>431</c:v>
                </c:pt>
                <c:pt idx="2">
                  <c:v>354</c:v>
                </c:pt>
                <c:pt idx="3">
                  <c:v>256</c:v>
                </c:pt>
                <c:pt idx="4">
                  <c:v>268</c:v>
                </c:pt>
                <c:pt idx="5">
                  <c:v>277</c:v>
                </c:pt>
                <c:pt idx="6">
                  <c:v>283</c:v>
                </c:pt>
                <c:pt idx="7">
                  <c:v>237</c:v>
                </c:pt>
              </c:numCache>
            </c:numRef>
          </c:val>
          <c:extLst xmlns:c16r2="http://schemas.microsoft.com/office/drawing/2015/06/chart">
            <c:ext xmlns:c16="http://schemas.microsoft.com/office/drawing/2014/chart" uri="{C3380CC4-5D6E-409C-BE32-E72D297353CC}">
              <c16:uniqueId val="{00000003-3525-4E97-9332-0824EB5839B3}"/>
            </c:ext>
          </c:extLst>
        </c:ser>
        <c:ser>
          <c:idx val="4"/>
          <c:order val="4"/>
          <c:tx>
            <c:strRef>
              <c:f>'OUTPUT│Outcomes Trends'!$C$367</c:f>
              <c:strCache>
                <c:ptCount val="1"/>
                <c:pt idx="0">
                  <c:v>SWB</c:v>
                </c:pt>
              </c:strCache>
            </c:strRef>
          </c:tx>
          <c:spPr>
            <a:solidFill>
              <a:schemeClr val="accent5"/>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Trends'!$D$367:$K$367</c:f>
              <c:numCache>
                <c:formatCode>#,##0</c:formatCode>
                <c:ptCount val="8"/>
                <c:pt idx="0">
                  <c:v>206</c:v>
                </c:pt>
                <c:pt idx="1">
                  <c:v>246</c:v>
                </c:pt>
                <c:pt idx="2">
                  <c:v>156</c:v>
                </c:pt>
                <c:pt idx="3">
                  <c:v>158</c:v>
                </c:pt>
                <c:pt idx="4">
                  <c:v>179</c:v>
                </c:pt>
                <c:pt idx="5">
                  <c:v>169</c:v>
                </c:pt>
                <c:pt idx="6">
                  <c:v>168</c:v>
                </c:pt>
                <c:pt idx="7">
                  <c:v>180</c:v>
                </c:pt>
              </c:numCache>
            </c:numRef>
          </c:val>
          <c:extLst xmlns:c16r2="http://schemas.microsoft.com/office/drawing/2015/06/chart">
            <c:ext xmlns:c16="http://schemas.microsoft.com/office/drawing/2014/chart" uri="{C3380CC4-5D6E-409C-BE32-E72D297353CC}">
              <c16:uniqueId val="{00000004-3525-4E97-9332-0824EB5839B3}"/>
            </c:ext>
          </c:extLst>
        </c:ser>
        <c:ser>
          <c:idx val="5"/>
          <c:order val="5"/>
          <c:tx>
            <c:strRef>
              <c:f>'OUTPUT│Outcomes Trends'!$C$368</c:f>
              <c:strCache>
                <c:ptCount val="1"/>
                <c:pt idx="0">
                  <c:v>SRN</c:v>
                </c:pt>
              </c:strCache>
            </c:strRef>
          </c:tx>
          <c:spPr>
            <a:solidFill>
              <a:srgbClr val="E47FC1"/>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Trends'!$D$368:$K$368</c:f>
              <c:numCache>
                <c:formatCode>#,##0</c:formatCode>
                <c:ptCount val="8"/>
                <c:pt idx="0">
                  <c:v>409</c:v>
                </c:pt>
                <c:pt idx="1">
                  <c:v>320</c:v>
                </c:pt>
                <c:pt idx="2">
                  <c:v>292</c:v>
                </c:pt>
                <c:pt idx="3">
                  <c:v>163</c:v>
                </c:pt>
                <c:pt idx="4">
                  <c:v>138</c:v>
                </c:pt>
                <c:pt idx="5">
                  <c:v>123</c:v>
                </c:pt>
                <c:pt idx="6">
                  <c:v>149</c:v>
                </c:pt>
                <c:pt idx="7">
                  <c:v>430</c:v>
                </c:pt>
              </c:numCache>
            </c:numRef>
          </c:val>
          <c:extLst xmlns:c16r2="http://schemas.microsoft.com/office/drawing/2015/06/chart">
            <c:ext xmlns:c16="http://schemas.microsoft.com/office/drawing/2014/chart" uri="{C3380CC4-5D6E-409C-BE32-E72D297353CC}">
              <c16:uniqueId val="{00000005-3525-4E97-9332-0824EB5839B3}"/>
            </c:ext>
          </c:extLst>
        </c:ser>
        <c:ser>
          <c:idx val="6"/>
          <c:order val="6"/>
          <c:tx>
            <c:strRef>
              <c:f>'OUTPUT│Outcomes Trends'!$C$369</c:f>
              <c:strCache>
                <c:ptCount val="1"/>
                <c:pt idx="0">
                  <c:v>TMS</c:v>
                </c:pt>
              </c:strCache>
            </c:strRef>
          </c:tx>
          <c:spPr>
            <a:solidFill>
              <a:schemeClr val="accent4"/>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Trends'!$D$369:$K$369</c:f>
              <c:numCache>
                <c:formatCode>#,##0</c:formatCode>
                <c:ptCount val="8"/>
                <c:pt idx="0">
                  <c:v>468</c:v>
                </c:pt>
                <c:pt idx="1">
                  <c:v>612</c:v>
                </c:pt>
                <c:pt idx="2">
                  <c:v>517</c:v>
                </c:pt>
                <c:pt idx="3">
                  <c:v>263</c:v>
                </c:pt>
                <c:pt idx="4">
                  <c:v>357</c:v>
                </c:pt>
                <c:pt idx="5">
                  <c:v>302</c:v>
                </c:pt>
                <c:pt idx="6">
                  <c:v>297</c:v>
                </c:pt>
                <c:pt idx="7">
                  <c:v>325</c:v>
                </c:pt>
              </c:numCache>
            </c:numRef>
          </c:val>
          <c:extLst xmlns:c16r2="http://schemas.microsoft.com/office/drawing/2015/06/chart">
            <c:ext xmlns:c16="http://schemas.microsoft.com/office/drawing/2014/chart" uri="{C3380CC4-5D6E-409C-BE32-E72D297353CC}">
              <c16:uniqueId val="{00000006-3525-4E97-9332-0824EB5839B3}"/>
            </c:ext>
          </c:extLst>
        </c:ser>
        <c:ser>
          <c:idx val="7"/>
          <c:order val="7"/>
          <c:tx>
            <c:strRef>
              <c:f>'OUTPUT│Outcomes Trends'!$C$370</c:f>
              <c:strCache>
                <c:ptCount val="1"/>
                <c:pt idx="0">
                  <c:v>UU</c:v>
                </c:pt>
              </c:strCache>
            </c:strRef>
          </c:tx>
          <c:spPr>
            <a:solidFill>
              <a:schemeClr val="accent3"/>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Trends'!$D$370:$K$370</c:f>
              <c:numCache>
                <c:formatCode>#,##0</c:formatCode>
                <c:ptCount val="8"/>
                <c:pt idx="0">
                  <c:v>324</c:v>
                </c:pt>
                <c:pt idx="1">
                  <c:v>208</c:v>
                </c:pt>
                <c:pt idx="2">
                  <c:v>214</c:v>
                </c:pt>
                <c:pt idx="3">
                  <c:v>175</c:v>
                </c:pt>
                <c:pt idx="4">
                  <c:v>171</c:v>
                </c:pt>
                <c:pt idx="5">
                  <c:v>166</c:v>
                </c:pt>
                <c:pt idx="6">
                  <c:v>179</c:v>
                </c:pt>
                <c:pt idx="7">
                  <c:v>202</c:v>
                </c:pt>
              </c:numCache>
            </c:numRef>
          </c:val>
          <c:extLst xmlns:c16r2="http://schemas.microsoft.com/office/drawing/2015/06/chart">
            <c:ext xmlns:c16="http://schemas.microsoft.com/office/drawing/2014/chart" uri="{C3380CC4-5D6E-409C-BE32-E72D297353CC}">
              <c16:uniqueId val="{00000007-3525-4E97-9332-0824EB5839B3}"/>
            </c:ext>
          </c:extLst>
        </c:ser>
        <c:ser>
          <c:idx val="8"/>
          <c:order val="8"/>
          <c:tx>
            <c:strRef>
              <c:f>'OUTPUT│Outcomes Trends'!$C$371</c:f>
              <c:strCache>
                <c:ptCount val="1"/>
                <c:pt idx="0">
                  <c:v>WSX</c:v>
                </c:pt>
              </c:strCache>
            </c:strRef>
          </c:tx>
          <c:spPr>
            <a:solidFill>
              <a:srgbClr val="FCEABF"/>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Trends'!$D$371:$K$371</c:f>
              <c:numCache>
                <c:formatCode>#,##0</c:formatCode>
                <c:ptCount val="8"/>
                <c:pt idx="0">
                  <c:v>61</c:v>
                </c:pt>
                <c:pt idx="1">
                  <c:v>83</c:v>
                </c:pt>
                <c:pt idx="2">
                  <c:v>76</c:v>
                </c:pt>
                <c:pt idx="3">
                  <c:v>83</c:v>
                </c:pt>
                <c:pt idx="4">
                  <c:v>74</c:v>
                </c:pt>
                <c:pt idx="5">
                  <c:v>79</c:v>
                </c:pt>
                <c:pt idx="6">
                  <c:v>82</c:v>
                </c:pt>
                <c:pt idx="7">
                  <c:v>76</c:v>
                </c:pt>
              </c:numCache>
            </c:numRef>
          </c:val>
          <c:extLst xmlns:c16r2="http://schemas.microsoft.com/office/drawing/2015/06/chart">
            <c:ext xmlns:c16="http://schemas.microsoft.com/office/drawing/2014/chart" uri="{C3380CC4-5D6E-409C-BE32-E72D297353CC}">
              <c16:uniqueId val="{00000008-3525-4E97-9332-0824EB5839B3}"/>
            </c:ext>
          </c:extLst>
        </c:ser>
        <c:ser>
          <c:idx val="9"/>
          <c:order val="9"/>
          <c:tx>
            <c:strRef>
              <c:f>'OUTPUT│Outcomes Trends'!$C$372</c:f>
              <c:strCache>
                <c:ptCount val="1"/>
                <c:pt idx="0">
                  <c:v>YKY</c:v>
                </c:pt>
              </c:strCache>
            </c:strRef>
          </c:tx>
          <c:spPr>
            <a:solidFill>
              <a:schemeClr val="accent2"/>
            </a:solidFill>
            <a:ln>
              <a:noFill/>
            </a:ln>
            <a:effectLst/>
          </c:spPr>
          <c:invertIfNegative val="0"/>
          <c:cat>
            <c:numRef>
              <c:f>'OUTPUT│Outcomes Trends'!$D$362:$K$362</c:f>
              <c:numCache>
                <c:formatCode>General</c:formatCode>
                <c:ptCount val="8"/>
                <c:pt idx="0">
                  <c:v>2012</c:v>
                </c:pt>
                <c:pt idx="1">
                  <c:v>2013</c:v>
                </c:pt>
                <c:pt idx="2">
                  <c:v>2014</c:v>
                </c:pt>
                <c:pt idx="3">
                  <c:v>2015</c:v>
                </c:pt>
                <c:pt idx="4">
                  <c:v>2016</c:v>
                </c:pt>
                <c:pt idx="5">
                  <c:v>2017</c:v>
                </c:pt>
                <c:pt idx="6">
                  <c:v>2018</c:v>
                </c:pt>
                <c:pt idx="7">
                  <c:v>2019</c:v>
                </c:pt>
              </c:numCache>
            </c:numRef>
          </c:cat>
          <c:val>
            <c:numRef>
              <c:f>'OUTPUT│Outcomes Trends'!$D$372:$K$372</c:f>
              <c:numCache>
                <c:formatCode>#,##0</c:formatCode>
                <c:ptCount val="8"/>
                <c:pt idx="0">
                  <c:v>253</c:v>
                </c:pt>
                <c:pt idx="1">
                  <c:v>239</c:v>
                </c:pt>
                <c:pt idx="2">
                  <c:v>180</c:v>
                </c:pt>
                <c:pt idx="3">
                  <c:v>219</c:v>
                </c:pt>
                <c:pt idx="4">
                  <c:v>237</c:v>
                </c:pt>
                <c:pt idx="5">
                  <c:v>222</c:v>
                </c:pt>
                <c:pt idx="6">
                  <c:v>224</c:v>
                </c:pt>
                <c:pt idx="7">
                  <c:v>177</c:v>
                </c:pt>
              </c:numCache>
            </c:numRef>
          </c:val>
          <c:extLst xmlns:c16r2="http://schemas.microsoft.com/office/drawing/2015/06/chart">
            <c:ext xmlns:c16="http://schemas.microsoft.com/office/drawing/2014/chart" uri="{C3380CC4-5D6E-409C-BE32-E72D297353CC}">
              <c16:uniqueId val="{00000009-3525-4E97-9332-0824EB5839B3}"/>
            </c:ext>
          </c:extLst>
        </c:ser>
        <c:dLbls>
          <c:showLegendKey val="0"/>
          <c:showVal val="0"/>
          <c:showCatName val="0"/>
          <c:showSerName val="0"/>
          <c:showPercent val="0"/>
          <c:showBubbleSize val="0"/>
        </c:dLbls>
        <c:gapWidth val="100"/>
        <c:overlap val="100"/>
        <c:axId val="424756800"/>
        <c:axId val="424758368"/>
      </c:barChart>
      <c:catAx>
        <c:axId val="42475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8368"/>
        <c:crosses val="autoZero"/>
        <c:auto val="1"/>
        <c:lblAlgn val="ctr"/>
        <c:lblOffset val="100"/>
        <c:noMultiLvlLbl val="0"/>
      </c:catAx>
      <c:valAx>
        <c:axId val="424758368"/>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Incidents (000s)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6800"/>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'OUTPUT│Outcomes Trends'!$C$323</c:f>
              <c:strCache>
                <c:ptCount val="1"/>
                <c:pt idx="0">
                  <c:v>ANH</c:v>
                </c:pt>
              </c:strCache>
            </c:strRef>
          </c:tx>
          <c:spPr>
            <a:solidFill>
              <a:schemeClr val="tx2"/>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Trends'!$D$323:$I$323</c:f>
              <c:numCache>
                <c:formatCode>#,##0</c:formatCode>
                <c:ptCount val="6"/>
                <c:pt idx="0">
                  <c:v>475</c:v>
                </c:pt>
                <c:pt idx="1">
                  <c:v>411</c:v>
                </c:pt>
                <c:pt idx="2">
                  <c:v>430</c:v>
                </c:pt>
                <c:pt idx="3">
                  <c:v>396</c:v>
                </c:pt>
                <c:pt idx="4">
                  <c:v>342</c:v>
                </c:pt>
                <c:pt idx="5">
                  <c:v>296</c:v>
                </c:pt>
              </c:numCache>
            </c:numRef>
          </c:val>
          <c:extLst xmlns:c16r2="http://schemas.microsoft.com/office/drawing/2015/06/chart">
            <c:ext xmlns:c16="http://schemas.microsoft.com/office/drawing/2014/chart" uri="{C3380CC4-5D6E-409C-BE32-E72D297353CC}">
              <c16:uniqueId val="{00000000-3C27-4EEA-9172-F65161E51898}"/>
            </c:ext>
          </c:extLst>
        </c:ser>
        <c:ser>
          <c:idx val="1"/>
          <c:order val="1"/>
          <c:tx>
            <c:strRef>
              <c:f>'OUTPUT│Outcomes Trends'!$C$324</c:f>
              <c:strCache>
                <c:ptCount val="1"/>
                <c:pt idx="0">
                  <c:v>WSH</c:v>
                </c:pt>
              </c:strCache>
            </c:strRef>
          </c:tx>
          <c:spPr>
            <a:solidFill>
              <a:schemeClr val="accent1"/>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Trends'!$D$324:$I$324</c:f>
              <c:numCache>
                <c:formatCode>#,##0</c:formatCode>
                <c:ptCount val="6"/>
                <c:pt idx="0">
                  <c:v>265</c:v>
                </c:pt>
                <c:pt idx="1">
                  <c:v>223</c:v>
                </c:pt>
                <c:pt idx="2">
                  <c:v>242</c:v>
                </c:pt>
                <c:pt idx="3">
                  <c:v>221</c:v>
                </c:pt>
                <c:pt idx="4">
                  <c:v>221</c:v>
                </c:pt>
                <c:pt idx="5">
                  <c:v>216</c:v>
                </c:pt>
              </c:numCache>
            </c:numRef>
          </c:val>
          <c:extLst xmlns:c16r2="http://schemas.microsoft.com/office/drawing/2015/06/chart">
            <c:ext xmlns:c16="http://schemas.microsoft.com/office/drawing/2014/chart" uri="{C3380CC4-5D6E-409C-BE32-E72D297353CC}">
              <c16:uniqueId val="{00000001-3C27-4EEA-9172-F65161E51898}"/>
            </c:ext>
          </c:extLst>
        </c:ser>
        <c:ser>
          <c:idx val="2"/>
          <c:order val="2"/>
          <c:tx>
            <c:strRef>
              <c:f>'OUTPUT│Outcomes Trends'!$C$325</c:f>
              <c:strCache>
                <c:ptCount val="1"/>
                <c:pt idx="0">
                  <c:v>NES</c:v>
                </c:pt>
              </c:strCache>
            </c:strRef>
          </c:tx>
          <c:spPr>
            <a:solidFill>
              <a:srgbClr val="7FBBE4"/>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Trends'!$D$325:$I$325</c:f>
              <c:numCache>
                <c:formatCode>#,##0</c:formatCode>
                <c:ptCount val="6"/>
                <c:pt idx="0">
                  <c:v>463</c:v>
                </c:pt>
                <c:pt idx="1">
                  <c:v>389</c:v>
                </c:pt>
                <c:pt idx="2">
                  <c:v>353</c:v>
                </c:pt>
                <c:pt idx="3">
                  <c:v>310</c:v>
                </c:pt>
                <c:pt idx="4">
                  <c:v>402</c:v>
                </c:pt>
                <c:pt idx="5">
                  <c:v>384</c:v>
                </c:pt>
              </c:numCache>
            </c:numRef>
          </c:val>
          <c:extLst xmlns:c16r2="http://schemas.microsoft.com/office/drawing/2015/06/chart">
            <c:ext xmlns:c16="http://schemas.microsoft.com/office/drawing/2014/chart" uri="{C3380CC4-5D6E-409C-BE32-E72D297353CC}">
              <c16:uniqueId val="{00000002-3C27-4EEA-9172-F65161E51898}"/>
            </c:ext>
          </c:extLst>
        </c:ser>
        <c:ser>
          <c:idx val="3"/>
          <c:order val="3"/>
          <c:tx>
            <c:strRef>
              <c:f>'OUTPUT│Outcomes Trends'!$C$326</c:f>
              <c:strCache>
                <c:ptCount val="1"/>
                <c:pt idx="0">
                  <c:v>SVE + HDD</c:v>
                </c:pt>
              </c:strCache>
            </c:strRef>
          </c:tx>
          <c:spPr>
            <a:solidFill>
              <a:srgbClr val="BFDDF1"/>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Trends'!$D$326:$I$326</c:f>
              <c:numCache>
                <c:formatCode>#,##0</c:formatCode>
                <c:ptCount val="6"/>
                <c:pt idx="0">
                  <c:v>1168</c:v>
                </c:pt>
                <c:pt idx="1">
                  <c:v>809</c:v>
                </c:pt>
                <c:pt idx="2">
                  <c:v>901</c:v>
                </c:pt>
                <c:pt idx="3">
                  <c:v>662</c:v>
                </c:pt>
                <c:pt idx="4">
                  <c:v>729</c:v>
                </c:pt>
                <c:pt idx="5">
                  <c:v>936</c:v>
                </c:pt>
              </c:numCache>
            </c:numRef>
          </c:val>
          <c:extLst xmlns:c16r2="http://schemas.microsoft.com/office/drawing/2015/06/chart">
            <c:ext xmlns:c16="http://schemas.microsoft.com/office/drawing/2014/chart" uri="{C3380CC4-5D6E-409C-BE32-E72D297353CC}">
              <c16:uniqueId val="{00000003-3C27-4EEA-9172-F65161E51898}"/>
            </c:ext>
          </c:extLst>
        </c:ser>
        <c:ser>
          <c:idx val="4"/>
          <c:order val="4"/>
          <c:tx>
            <c:strRef>
              <c:f>'OUTPUT│Outcomes Trends'!$C$327</c:f>
              <c:strCache>
                <c:ptCount val="1"/>
                <c:pt idx="0">
                  <c:v>SWB</c:v>
                </c:pt>
              </c:strCache>
            </c:strRef>
          </c:tx>
          <c:spPr>
            <a:solidFill>
              <a:schemeClr val="accent5"/>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Trends'!$D$327:$I$327</c:f>
              <c:numCache>
                <c:formatCode>#,##0</c:formatCode>
                <c:ptCount val="6"/>
                <c:pt idx="0">
                  <c:v>182</c:v>
                </c:pt>
                <c:pt idx="1">
                  <c:v>189</c:v>
                </c:pt>
                <c:pt idx="2">
                  <c:v>165</c:v>
                </c:pt>
                <c:pt idx="3">
                  <c:v>141</c:v>
                </c:pt>
                <c:pt idx="4">
                  <c:v>93</c:v>
                </c:pt>
                <c:pt idx="5">
                  <c:v>160</c:v>
                </c:pt>
              </c:numCache>
            </c:numRef>
          </c:val>
          <c:extLst xmlns:c16r2="http://schemas.microsoft.com/office/drawing/2015/06/chart">
            <c:ext xmlns:c16="http://schemas.microsoft.com/office/drawing/2014/chart" uri="{C3380CC4-5D6E-409C-BE32-E72D297353CC}">
              <c16:uniqueId val="{00000004-3C27-4EEA-9172-F65161E51898}"/>
            </c:ext>
          </c:extLst>
        </c:ser>
        <c:ser>
          <c:idx val="5"/>
          <c:order val="5"/>
          <c:tx>
            <c:strRef>
              <c:f>'OUTPUT│Outcomes Trends'!$C$328</c:f>
              <c:strCache>
                <c:ptCount val="1"/>
                <c:pt idx="0">
                  <c:v>SRN</c:v>
                </c:pt>
              </c:strCache>
            </c:strRef>
          </c:tx>
          <c:spPr>
            <a:solidFill>
              <a:srgbClr val="E47FC1"/>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Trends'!$D$328:$I$328</c:f>
              <c:numCache>
                <c:formatCode>#,##0</c:formatCode>
                <c:ptCount val="6"/>
                <c:pt idx="0">
                  <c:v>487</c:v>
                </c:pt>
                <c:pt idx="1">
                  <c:v>492</c:v>
                </c:pt>
                <c:pt idx="2">
                  <c:v>448</c:v>
                </c:pt>
                <c:pt idx="3">
                  <c:v>401</c:v>
                </c:pt>
                <c:pt idx="4">
                  <c:v>389</c:v>
                </c:pt>
                <c:pt idx="5">
                  <c:v>453</c:v>
                </c:pt>
              </c:numCache>
            </c:numRef>
          </c:val>
          <c:extLst xmlns:c16r2="http://schemas.microsoft.com/office/drawing/2015/06/chart">
            <c:ext xmlns:c16="http://schemas.microsoft.com/office/drawing/2014/chart" uri="{C3380CC4-5D6E-409C-BE32-E72D297353CC}">
              <c16:uniqueId val="{00000005-3C27-4EEA-9172-F65161E51898}"/>
            </c:ext>
          </c:extLst>
        </c:ser>
        <c:ser>
          <c:idx val="6"/>
          <c:order val="6"/>
          <c:tx>
            <c:strRef>
              <c:f>'OUTPUT│Outcomes Trends'!$C$329</c:f>
              <c:strCache>
                <c:ptCount val="1"/>
                <c:pt idx="0">
                  <c:v>TMS</c:v>
                </c:pt>
              </c:strCache>
            </c:strRef>
          </c:tx>
          <c:spPr>
            <a:solidFill>
              <a:schemeClr val="accent4"/>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Trends'!$D$329:$I$329</c:f>
              <c:numCache>
                <c:formatCode>#,##0</c:formatCode>
                <c:ptCount val="6"/>
                <c:pt idx="0">
                  <c:v>1655</c:v>
                </c:pt>
                <c:pt idx="1">
                  <c:v>1403</c:v>
                </c:pt>
                <c:pt idx="2">
                  <c:v>1214</c:v>
                </c:pt>
                <c:pt idx="3">
                  <c:v>1062</c:v>
                </c:pt>
                <c:pt idx="4">
                  <c:v>1032</c:v>
                </c:pt>
                <c:pt idx="5">
                  <c:v>1058</c:v>
                </c:pt>
              </c:numCache>
            </c:numRef>
          </c:val>
          <c:extLst xmlns:c16r2="http://schemas.microsoft.com/office/drawing/2015/06/chart">
            <c:ext xmlns:c16="http://schemas.microsoft.com/office/drawing/2014/chart" uri="{C3380CC4-5D6E-409C-BE32-E72D297353CC}">
              <c16:uniqueId val="{00000006-3C27-4EEA-9172-F65161E51898}"/>
            </c:ext>
          </c:extLst>
        </c:ser>
        <c:ser>
          <c:idx val="7"/>
          <c:order val="7"/>
          <c:tx>
            <c:strRef>
              <c:f>'OUTPUT│Outcomes Trends'!$C$330</c:f>
              <c:strCache>
                <c:ptCount val="1"/>
                <c:pt idx="0">
                  <c:v>UU</c:v>
                </c:pt>
              </c:strCache>
            </c:strRef>
          </c:tx>
          <c:spPr>
            <a:solidFill>
              <a:schemeClr val="accent3"/>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Trends'!$D$330:$I$330</c:f>
              <c:numCache>
                <c:formatCode>#,##0</c:formatCode>
                <c:ptCount val="6"/>
                <c:pt idx="0">
                  <c:v>808</c:v>
                </c:pt>
                <c:pt idx="1">
                  <c:v>986</c:v>
                </c:pt>
                <c:pt idx="2">
                  <c:v>941</c:v>
                </c:pt>
                <c:pt idx="3">
                  <c:v>650</c:v>
                </c:pt>
                <c:pt idx="4">
                  <c:v>566</c:v>
                </c:pt>
                <c:pt idx="5">
                  <c:v>774</c:v>
                </c:pt>
              </c:numCache>
            </c:numRef>
          </c:val>
          <c:extLst xmlns:c16r2="http://schemas.microsoft.com/office/drawing/2015/06/chart">
            <c:ext xmlns:c16="http://schemas.microsoft.com/office/drawing/2014/chart" uri="{C3380CC4-5D6E-409C-BE32-E72D297353CC}">
              <c16:uniqueId val="{00000007-3C27-4EEA-9172-F65161E51898}"/>
            </c:ext>
          </c:extLst>
        </c:ser>
        <c:ser>
          <c:idx val="8"/>
          <c:order val="8"/>
          <c:tx>
            <c:strRef>
              <c:f>'OUTPUT│Outcomes Trends'!$C$331</c:f>
              <c:strCache>
                <c:ptCount val="1"/>
                <c:pt idx="0">
                  <c:v>WSX</c:v>
                </c:pt>
              </c:strCache>
            </c:strRef>
          </c:tx>
          <c:spPr>
            <a:solidFill>
              <a:srgbClr val="FCEABF"/>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Trends'!$D$331:$I$331</c:f>
              <c:numCache>
                <c:formatCode>#,##0</c:formatCode>
                <c:ptCount val="6"/>
                <c:pt idx="0">
                  <c:v>140</c:v>
                </c:pt>
                <c:pt idx="1">
                  <c:v>167</c:v>
                </c:pt>
                <c:pt idx="2">
                  <c:v>148</c:v>
                </c:pt>
                <c:pt idx="3">
                  <c:v>151</c:v>
                </c:pt>
                <c:pt idx="4">
                  <c:v>179</c:v>
                </c:pt>
                <c:pt idx="5">
                  <c:v>146</c:v>
                </c:pt>
              </c:numCache>
            </c:numRef>
          </c:val>
          <c:extLst xmlns:c16r2="http://schemas.microsoft.com/office/drawing/2015/06/chart">
            <c:ext xmlns:c16="http://schemas.microsoft.com/office/drawing/2014/chart" uri="{C3380CC4-5D6E-409C-BE32-E72D297353CC}">
              <c16:uniqueId val="{00000008-3C27-4EEA-9172-F65161E51898}"/>
            </c:ext>
          </c:extLst>
        </c:ser>
        <c:ser>
          <c:idx val="9"/>
          <c:order val="9"/>
          <c:tx>
            <c:strRef>
              <c:f>'OUTPUT│Outcomes Trends'!$C$332</c:f>
              <c:strCache>
                <c:ptCount val="1"/>
                <c:pt idx="0">
                  <c:v>YKY</c:v>
                </c:pt>
              </c:strCache>
            </c:strRef>
          </c:tx>
          <c:spPr>
            <a:solidFill>
              <a:schemeClr val="accent2"/>
            </a:solidFill>
            <a:ln>
              <a:noFill/>
            </a:ln>
            <a:effectLst/>
          </c:spPr>
          <c:invertIfNegative val="0"/>
          <c:cat>
            <c:strRef>
              <c:f>'OUTPUT│Outcomes Trends'!$D$322:$I$322</c:f>
              <c:strCache>
                <c:ptCount val="6"/>
                <c:pt idx="0">
                  <c:v>2014-15</c:v>
                </c:pt>
                <c:pt idx="1">
                  <c:v>2015-16</c:v>
                </c:pt>
                <c:pt idx="2">
                  <c:v>2016-17</c:v>
                </c:pt>
                <c:pt idx="3">
                  <c:v>2017-18</c:v>
                </c:pt>
                <c:pt idx="4">
                  <c:v>2018-19</c:v>
                </c:pt>
                <c:pt idx="5">
                  <c:v>2019-20</c:v>
                </c:pt>
              </c:strCache>
            </c:strRef>
          </c:cat>
          <c:val>
            <c:numRef>
              <c:f>'OUTPUT│Outcomes Trends'!$D$332:$I$332</c:f>
              <c:numCache>
                <c:formatCode>#,##0</c:formatCode>
                <c:ptCount val="6"/>
                <c:pt idx="0">
                  <c:v>1947</c:v>
                </c:pt>
                <c:pt idx="1">
                  <c:v>1842</c:v>
                </c:pt>
                <c:pt idx="2">
                  <c:v>1769</c:v>
                </c:pt>
                <c:pt idx="3">
                  <c:v>1682</c:v>
                </c:pt>
                <c:pt idx="4">
                  <c:v>1692</c:v>
                </c:pt>
                <c:pt idx="5">
                  <c:v>1602</c:v>
                </c:pt>
              </c:numCache>
            </c:numRef>
          </c:val>
          <c:extLst xmlns:c16r2="http://schemas.microsoft.com/office/drawing/2015/06/chart">
            <c:ext xmlns:c16="http://schemas.microsoft.com/office/drawing/2014/chart" uri="{C3380CC4-5D6E-409C-BE32-E72D297353CC}">
              <c16:uniqueId val="{00000009-3C27-4EEA-9172-F65161E51898}"/>
            </c:ext>
          </c:extLst>
        </c:ser>
        <c:dLbls>
          <c:showLegendKey val="0"/>
          <c:showVal val="0"/>
          <c:showCatName val="0"/>
          <c:showSerName val="0"/>
          <c:showPercent val="0"/>
          <c:showBubbleSize val="0"/>
        </c:dLbls>
        <c:gapWidth val="100"/>
        <c:overlap val="100"/>
        <c:axId val="424761504"/>
        <c:axId val="424762680"/>
      </c:barChart>
      <c:catAx>
        <c:axId val="42476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62680"/>
        <c:crosses val="autoZero"/>
        <c:auto val="1"/>
        <c:lblAlgn val="ctr"/>
        <c:lblOffset val="100"/>
        <c:noMultiLvlLbl val="0"/>
      </c:catAx>
      <c:valAx>
        <c:axId val="424762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Incidents (000s)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61504"/>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'OUTPUT│Outcomes Trends'!$E$6</c:f>
              <c:strCache>
                <c:ptCount val="1"/>
                <c:pt idx="0">
                  <c:v>Leakage</c:v>
                </c:pt>
              </c:strCache>
            </c:strRef>
          </c:tx>
          <c:spPr>
            <a:solidFill>
              <a:schemeClr val="accent1"/>
            </a:solidFill>
            <a:ln>
              <a:noFill/>
            </a:ln>
            <a:effectLst/>
          </c:spPr>
          <c:invertIfNegative val="0"/>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Trends'!$E$7:$E$29</c:f>
              <c:numCache>
                <c:formatCode>#,##0.00;\-#,##0.00;\-</c:formatCode>
                <c:ptCount val="23"/>
                <c:pt idx="0">
                  <c:v>-0.23167200000000002</c:v>
                </c:pt>
                <c:pt idx="1">
                  <c:v>0.16159999999999999</c:v>
                </c:pt>
                <c:pt idx="2">
                  <c:v>4.0018000000000002</c:v>
                </c:pt>
                <c:pt idx="3">
                  <c:v>0.33</c:v>
                </c:pt>
                <c:pt idx="4">
                  <c:v>0.62080000000000002</c:v>
                </c:pt>
                <c:pt idx="5">
                  <c:v>1.9843999999999999</c:v>
                </c:pt>
                <c:pt idx="6">
                  <c:v>0</c:v>
                </c:pt>
                <c:pt idx="7">
                  <c:v>0.22049999999999642</c:v>
                </c:pt>
                <c:pt idx="8">
                  <c:v>0</c:v>
                </c:pt>
                <c:pt idx="9">
                  <c:v>0</c:v>
                </c:pt>
                <c:pt idx="10">
                  <c:v>0</c:v>
                </c:pt>
                <c:pt idx="11">
                  <c:v>7.5999999999999998E-2</c:v>
                </c:pt>
                <c:pt idx="12">
                  <c:v>1.26E-2</c:v>
                </c:pt>
                <c:pt idx="13">
                  <c:v>-2.7374000000000001</c:v>
                </c:pt>
                <c:pt idx="14">
                  <c:v>0</c:v>
                </c:pt>
                <c:pt idx="15">
                  <c:v>3.605</c:v>
                </c:pt>
                <c:pt idx="16">
                  <c:v>0</c:v>
                </c:pt>
              </c:numCache>
            </c:numRef>
          </c:val>
          <c:extLst xmlns:c16r2="http://schemas.microsoft.com/office/drawing/2015/06/chart">
            <c:ext xmlns:c16="http://schemas.microsoft.com/office/drawing/2014/chart" uri="{C3380CC4-5D6E-409C-BE32-E72D297353CC}">
              <c16:uniqueId val="{00000000-9E7A-4781-ABFA-47BB658416BA}"/>
            </c:ext>
          </c:extLst>
        </c:ser>
        <c:ser>
          <c:idx val="1"/>
          <c:order val="1"/>
          <c:tx>
            <c:strRef>
              <c:f>'OUTPUT│Outcomes Trends'!$F$6</c:f>
              <c:strCache>
                <c:ptCount val="1"/>
                <c:pt idx="0">
                  <c:v>Supply interruptions</c:v>
                </c:pt>
              </c:strCache>
            </c:strRef>
          </c:tx>
          <c:spPr>
            <a:solidFill>
              <a:schemeClr val="accent2"/>
            </a:solidFill>
            <a:ln>
              <a:noFill/>
            </a:ln>
            <a:effectLst/>
          </c:spPr>
          <c:invertIfNegative val="0"/>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Trends'!$F$7:$F$29</c:f>
              <c:numCache>
                <c:formatCode>#,##0.00;\-#,##0.00;\-</c:formatCode>
                <c:ptCount val="23"/>
                <c:pt idx="0">
                  <c:v>0.77383800000000003</c:v>
                </c:pt>
                <c:pt idx="1">
                  <c:v>10.226817</c:v>
                </c:pt>
                <c:pt idx="2">
                  <c:v>7.2267000000000001</c:v>
                </c:pt>
                <c:pt idx="3">
                  <c:v>2.8199999999999999E-2</c:v>
                </c:pt>
                <c:pt idx="4">
                  <c:v>6.5030000000000004E-2</c:v>
                </c:pt>
                <c:pt idx="5">
                  <c:v>0</c:v>
                </c:pt>
                <c:pt idx="6">
                  <c:v>0.90600000000000003</c:v>
                </c:pt>
                <c:pt idx="7">
                  <c:v>0.26600000000000001</c:v>
                </c:pt>
                <c:pt idx="8">
                  <c:v>0.36</c:v>
                </c:pt>
                <c:pt idx="9">
                  <c:v>0</c:v>
                </c:pt>
                <c:pt idx="10">
                  <c:v>-0.123791</c:v>
                </c:pt>
                <c:pt idx="11">
                  <c:v>7.2999999999999995E-2</c:v>
                </c:pt>
                <c:pt idx="12">
                  <c:v>0</c:v>
                </c:pt>
                <c:pt idx="13">
                  <c:v>0</c:v>
                </c:pt>
                <c:pt idx="14">
                  <c:v>-0.52649999999999997</c:v>
                </c:pt>
                <c:pt idx="15">
                  <c:v>-8.5619999999999994</c:v>
                </c:pt>
                <c:pt idx="16">
                  <c:v>3.125</c:v>
                </c:pt>
              </c:numCache>
            </c:numRef>
          </c:val>
          <c:extLst xmlns:c16r2="http://schemas.microsoft.com/office/drawing/2015/06/chart">
            <c:ext xmlns:c16="http://schemas.microsoft.com/office/drawing/2014/chart" uri="{C3380CC4-5D6E-409C-BE32-E72D297353CC}">
              <c16:uniqueId val="{00000001-9E7A-4781-ABFA-47BB658416BA}"/>
            </c:ext>
          </c:extLst>
        </c:ser>
        <c:ser>
          <c:idx val="2"/>
          <c:order val="2"/>
          <c:tx>
            <c:strRef>
              <c:f>'OUTPUT│Outcomes Trends'!$G$6</c:f>
              <c:strCache>
                <c:ptCount val="1"/>
                <c:pt idx="0">
                  <c:v>Internal sewer flooding</c:v>
                </c:pt>
              </c:strCache>
            </c:strRef>
          </c:tx>
          <c:spPr>
            <a:solidFill>
              <a:schemeClr val="accent3"/>
            </a:solidFill>
            <a:ln>
              <a:noFill/>
            </a:ln>
            <a:effectLst/>
          </c:spPr>
          <c:invertIfNegative val="0"/>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Trends'!$G$7:$G$29</c:f>
              <c:numCache>
                <c:formatCode>#,##0.00;\-#,##0.00;\-</c:formatCode>
                <c:ptCount val="23"/>
                <c:pt idx="0">
                  <c:v>-11.51858</c:v>
                </c:pt>
                <c:pt idx="1">
                  <c:v>9.0270290000000006</c:v>
                </c:pt>
                <c:pt idx="2">
                  <c:v>-8.3312000000000008</c:v>
                </c:pt>
                <c:pt idx="3">
                  <c:v>5.508</c:v>
                </c:pt>
                <c:pt idx="4">
                  <c:v>0</c:v>
                </c:pt>
                <c:pt idx="5">
                  <c:v>0</c:v>
                </c:pt>
                <c:pt idx="6">
                  <c:v>0</c:v>
                </c:pt>
                <c:pt idx="7">
                  <c:v>0</c:v>
                </c:pt>
                <c:pt idx="8">
                  <c:v>0</c:v>
                </c:pt>
                <c:pt idx="9">
                  <c:v>0.61099999999999999</c:v>
                </c:pt>
                <c:pt idx="10">
                  <c:v>-0.12845999999999999</c:v>
                </c:pt>
                <c:pt idx="11">
                  <c:v>0</c:v>
                </c:pt>
                <c:pt idx="12">
                  <c:v>0</c:v>
                </c:pt>
                <c:pt idx="13">
                  <c:v>0</c:v>
                </c:pt>
                <c:pt idx="14">
                  <c:v>1.1779999999999999</c:v>
                </c:pt>
                <c:pt idx="15">
                  <c:v>8.64</c:v>
                </c:pt>
                <c:pt idx="16">
                  <c:v>1.4850000000000001</c:v>
                </c:pt>
              </c:numCache>
            </c:numRef>
          </c:val>
          <c:extLst xmlns:c16r2="http://schemas.microsoft.com/office/drawing/2015/06/chart">
            <c:ext xmlns:c16="http://schemas.microsoft.com/office/drawing/2014/chart" uri="{C3380CC4-5D6E-409C-BE32-E72D297353CC}">
              <c16:uniqueId val="{00000002-9E7A-4781-ABFA-47BB658416BA}"/>
            </c:ext>
          </c:extLst>
        </c:ser>
        <c:ser>
          <c:idx val="3"/>
          <c:order val="3"/>
          <c:tx>
            <c:strRef>
              <c:f>'OUTPUT│Outcomes Trends'!$H$6</c:f>
              <c:strCache>
                <c:ptCount val="1"/>
                <c:pt idx="0">
                  <c:v>Pollution incidents</c:v>
                </c:pt>
              </c:strCache>
            </c:strRef>
          </c:tx>
          <c:spPr>
            <a:solidFill>
              <a:schemeClr val="accent4"/>
            </a:solidFill>
            <a:ln>
              <a:noFill/>
            </a:ln>
            <a:effectLst/>
          </c:spPr>
          <c:invertIfNegative val="0"/>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Trends'!$H$7:$H$29</c:f>
              <c:numCache>
                <c:formatCode>#,##0.00;\-#,##0.00;\-</c:formatCode>
                <c:ptCount val="23"/>
                <c:pt idx="0">
                  <c:v>1.617</c:v>
                </c:pt>
                <c:pt idx="1">
                  <c:v>9.6269159999999996</c:v>
                </c:pt>
                <c:pt idx="2">
                  <c:v>3.278</c:v>
                </c:pt>
                <c:pt idx="3">
                  <c:v>0</c:v>
                </c:pt>
                <c:pt idx="4">
                  <c:v>-1.1312</c:v>
                </c:pt>
                <c:pt idx="5">
                  <c:v>0</c:v>
                </c:pt>
                <c:pt idx="6">
                  <c:v>0</c:v>
                </c:pt>
                <c:pt idx="7">
                  <c:v>0</c:v>
                </c:pt>
                <c:pt idx="8">
                  <c:v>0</c:v>
                </c:pt>
                <c:pt idx="9">
                  <c:v>0.27200000000000002</c:v>
                </c:pt>
                <c:pt idx="10">
                  <c:v>0</c:v>
                </c:pt>
                <c:pt idx="11">
                  <c:v>0</c:v>
                </c:pt>
                <c:pt idx="12">
                  <c:v>0</c:v>
                </c:pt>
                <c:pt idx="13">
                  <c:v>-2.16</c:v>
                </c:pt>
                <c:pt idx="14">
                  <c:v>0.51700000000000002</c:v>
                </c:pt>
                <c:pt idx="15">
                  <c:v>1.254</c:v>
                </c:pt>
                <c:pt idx="16">
                  <c:v>0</c:v>
                </c:pt>
              </c:numCache>
            </c:numRef>
          </c:val>
          <c:extLst xmlns:c16r2="http://schemas.microsoft.com/office/drawing/2015/06/chart">
            <c:ext xmlns:c16="http://schemas.microsoft.com/office/drawing/2014/chart" uri="{C3380CC4-5D6E-409C-BE32-E72D297353CC}">
              <c16:uniqueId val="{00000003-9E7A-4781-ABFA-47BB658416BA}"/>
            </c:ext>
          </c:extLst>
        </c:ser>
        <c:ser>
          <c:idx val="4"/>
          <c:order val="4"/>
          <c:tx>
            <c:strRef>
              <c:f>'OUTPUT│Outcomes Trends'!$I$6</c:f>
              <c:strCache>
                <c:ptCount val="1"/>
                <c:pt idx="0">
                  <c:v>Others</c:v>
                </c:pt>
              </c:strCache>
            </c:strRef>
          </c:tx>
          <c:spPr>
            <a:solidFill>
              <a:schemeClr val="accent5"/>
            </a:solidFill>
            <a:ln>
              <a:noFill/>
            </a:ln>
            <a:effectLst/>
          </c:spPr>
          <c:invertIfNegative val="0"/>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Trends'!$I$7:$I$29</c:f>
              <c:numCache>
                <c:formatCode>#,##0.00;\-#,##0.00;\-</c:formatCode>
                <c:ptCount val="23"/>
                <c:pt idx="0">
                  <c:v>38.871636000000002</c:v>
                </c:pt>
                <c:pt idx="1">
                  <c:v>-1.6632179999999999</c:v>
                </c:pt>
                <c:pt idx="2">
                  <c:v>10.2913</c:v>
                </c:pt>
                <c:pt idx="3">
                  <c:v>-0.17200000000000001</c:v>
                </c:pt>
                <c:pt idx="4">
                  <c:v>2.4831300000000001</c:v>
                </c:pt>
                <c:pt idx="5">
                  <c:v>-0.152</c:v>
                </c:pt>
                <c:pt idx="6">
                  <c:v>4.8399999999999999E-2</c:v>
                </c:pt>
                <c:pt idx="7">
                  <c:v>-9.6879999999999432E-3</c:v>
                </c:pt>
                <c:pt idx="8">
                  <c:v>-0.14000000000000001</c:v>
                </c:pt>
                <c:pt idx="9">
                  <c:v>-1.0727500000000003</c:v>
                </c:pt>
                <c:pt idx="10">
                  <c:v>-0.19573400000000002</c:v>
                </c:pt>
                <c:pt idx="11">
                  <c:v>-1.0329999999999999</c:v>
                </c:pt>
                <c:pt idx="12">
                  <c:v>-1.75</c:v>
                </c:pt>
                <c:pt idx="13">
                  <c:v>2.0969000000000002</c:v>
                </c:pt>
                <c:pt idx="14">
                  <c:v>-4.3600000000000003</c:v>
                </c:pt>
                <c:pt idx="15">
                  <c:v>-13.166799999999999</c:v>
                </c:pt>
                <c:pt idx="16">
                  <c:v>-133.78614000000002</c:v>
                </c:pt>
              </c:numCache>
            </c:numRef>
          </c:val>
          <c:extLst xmlns:c16r2="http://schemas.microsoft.com/office/drawing/2015/06/chart">
            <c:ext xmlns:c16="http://schemas.microsoft.com/office/drawing/2014/chart" uri="{C3380CC4-5D6E-409C-BE32-E72D297353CC}">
              <c16:uniqueId val="{00000004-9E7A-4781-ABFA-47BB658416BA}"/>
            </c:ext>
          </c:extLst>
        </c:ser>
        <c:ser>
          <c:idx val="6"/>
          <c:order val="6"/>
          <c:tx>
            <c:strRef>
              <c:f>'OUTPUT│Outcomes Trends'!$K$6</c:f>
              <c:strCache>
                <c:ptCount val="1"/>
                <c:pt idx="0">
                  <c:v>2015-16</c:v>
                </c:pt>
              </c:strCache>
            </c:strRef>
          </c:tx>
          <c:spPr>
            <a:solidFill>
              <a:srgbClr val="B5C5E4"/>
            </a:solidFill>
            <a:ln>
              <a:noFill/>
            </a:ln>
            <a:effectLst/>
          </c:spPr>
          <c:invertIfNegative val="0"/>
          <c:dPt>
            <c:idx val="18"/>
            <c:invertIfNegative val="0"/>
            <c:bubble3D val="0"/>
            <c:spPr>
              <a:solidFill>
                <a:srgbClr val="B5C5E4"/>
              </a:solidFill>
              <a:ln>
                <a:noFill/>
              </a:ln>
              <a:effectLst/>
            </c:spPr>
            <c:extLst xmlns:c16r2="http://schemas.microsoft.com/office/drawing/2015/06/chart">
              <c:ext xmlns:c16="http://schemas.microsoft.com/office/drawing/2014/chart" uri="{C3380CC4-5D6E-409C-BE32-E72D297353CC}">
                <c16:uniqueId val="{00000006-9E7A-4781-ABFA-47BB658416BA}"/>
              </c:ext>
            </c:extLst>
          </c:dPt>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Trends'!$K$7:$K$29</c:f>
              <c:numCache>
                <c:formatCode>General</c:formatCode>
                <c:ptCount val="23"/>
                <c:pt idx="18" formatCode="#,##0.00;\-#,##0.00;\-">
                  <c:v>31.688269106078121</c:v>
                </c:pt>
              </c:numCache>
            </c:numRef>
          </c:val>
          <c:extLst xmlns:c16r2="http://schemas.microsoft.com/office/drawing/2015/06/chart">
            <c:ext xmlns:c16="http://schemas.microsoft.com/office/drawing/2014/chart" uri="{C3380CC4-5D6E-409C-BE32-E72D297353CC}">
              <c16:uniqueId val="{00000007-9E7A-4781-ABFA-47BB658416BA}"/>
            </c:ext>
          </c:extLst>
        </c:ser>
        <c:ser>
          <c:idx val="7"/>
          <c:order val="7"/>
          <c:tx>
            <c:strRef>
              <c:f>'OUTPUT│Outcomes Trends'!$L$6</c:f>
              <c:strCache>
                <c:ptCount val="1"/>
                <c:pt idx="0">
                  <c:v>2016-17</c:v>
                </c:pt>
              </c:strCache>
            </c:strRef>
          </c:tx>
          <c:spPr>
            <a:solidFill>
              <a:srgbClr val="7F99BC"/>
            </a:solidFill>
            <a:ln>
              <a:noFill/>
            </a:ln>
            <a:effectLst/>
          </c:spPr>
          <c:invertIfNegative val="0"/>
          <c:dPt>
            <c:idx val="19"/>
            <c:invertIfNegative val="0"/>
            <c:bubble3D val="0"/>
            <c:spPr>
              <a:solidFill>
                <a:srgbClr val="84A5D7"/>
              </a:solidFill>
              <a:ln>
                <a:noFill/>
              </a:ln>
              <a:effectLst/>
            </c:spPr>
          </c:dPt>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Trends'!$L$7:$L$29</c:f>
              <c:numCache>
                <c:formatCode>General</c:formatCode>
                <c:ptCount val="23"/>
                <c:pt idx="19" formatCode="#,##0.00;\-#,##0.00;\-">
                  <c:v>58.961326542521626</c:v>
                </c:pt>
              </c:numCache>
            </c:numRef>
          </c:val>
          <c:extLst xmlns:c16r2="http://schemas.microsoft.com/office/drawing/2015/06/chart">
            <c:ext xmlns:c16="http://schemas.microsoft.com/office/drawing/2014/chart" uri="{C3380CC4-5D6E-409C-BE32-E72D297353CC}">
              <c16:uniqueId val="{00000008-9E7A-4781-ABFA-47BB658416BA}"/>
            </c:ext>
          </c:extLst>
        </c:ser>
        <c:ser>
          <c:idx val="8"/>
          <c:order val="8"/>
          <c:tx>
            <c:strRef>
              <c:f>'OUTPUT│Outcomes Trends'!$M$6</c:f>
              <c:strCache>
                <c:ptCount val="1"/>
                <c:pt idx="0">
                  <c:v>2017-18</c:v>
                </c:pt>
              </c:strCache>
            </c:strRef>
          </c:tx>
          <c:spPr>
            <a:solidFill>
              <a:schemeClr val="accent1"/>
            </a:solidFill>
            <a:ln>
              <a:noFill/>
            </a:ln>
            <a:effectLst/>
          </c:spPr>
          <c:invertIfNegative val="0"/>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Trends'!$M$7:$M$29</c:f>
              <c:numCache>
                <c:formatCode>General</c:formatCode>
                <c:ptCount val="23"/>
                <c:pt idx="20" formatCode="#,##0.00;\-#,##0.00;\-">
                  <c:v>44.447184402499964</c:v>
                </c:pt>
              </c:numCache>
            </c:numRef>
          </c:val>
          <c:extLst xmlns:c16r2="http://schemas.microsoft.com/office/drawing/2015/06/chart">
            <c:ext xmlns:c16="http://schemas.microsoft.com/office/drawing/2014/chart" uri="{C3380CC4-5D6E-409C-BE32-E72D297353CC}">
              <c16:uniqueId val="{00000009-9E7A-4781-ABFA-47BB658416BA}"/>
            </c:ext>
          </c:extLst>
        </c:ser>
        <c:ser>
          <c:idx val="9"/>
          <c:order val="9"/>
          <c:tx>
            <c:strRef>
              <c:f>'OUTPUT│Outcomes Trends'!$N$6</c:f>
              <c:strCache>
                <c:ptCount val="1"/>
                <c:pt idx="0">
                  <c:v>2018-19</c:v>
                </c:pt>
              </c:strCache>
            </c:strRef>
          </c:tx>
          <c:spPr>
            <a:solidFill>
              <a:srgbClr val="006AB2"/>
            </a:solidFill>
            <a:ln>
              <a:noFill/>
            </a:ln>
            <a:effectLst/>
          </c:spPr>
          <c:invertIfNegative val="0"/>
          <c:dPt>
            <c:idx val="21"/>
            <c:invertIfNegative val="0"/>
            <c:bubble3D val="0"/>
            <c:spPr>
              <a:solidFill>
                <a:srgbClr val="006AB2"/>
              </a:solidFill>
              <a:ln>
                <a:noFill/>
              </a:ln>
              <a:effectLst/>
            </c:spPr>
            <c:extLst xmlns:c16r2="http://schemas.microsoft.com/office/drawing/2015/06/chart">
              <c:ext xmlns:c16="http://schemas.microsoft.com/office/drawing/2014/chart" uri="{C3380CC4-5D6E-409C-BE32-E72D297353CC}">
                <c16:uniqueId val="{0000000B-9E7A-4781-ABFA-47BB658416BA}"/>
              </c:ext>
            </c:extLst>
          </c:dPt>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Trends'!$N$7:$N$29</c:f>
              <c:numCache>
                <c:formatCode>General</c:formatCode>
                <c:ptCount val="23"/>
                <c:pt idx="21" formatCode="#,##0.00;\-#,##0.00;\-">
                  <c:v>-23.061781520000011</c:v>
                </c:pt>
              </c:numCache>
            </c:numRef>
          </c:val>
          <c:extLst xmlns:c16r2="http://schemas.microsoft.com/office/drawing/2015/06/chart">
            <c:ext xmlns:c16="http://schemas.microsoft.com/office/drawing/2014/chart" uri="{C3380CC4-5D6E-409C-BE32-E72D297353CC}">
              <c16:uniqueId val="{0000000C-9E7A-4781-ABFA-47BB658416BA}"/>
            </c:ext>
          </c:extLst>
        </c:ser>
        <c:ser>
          <c:idx val="10"/>
          <c:order val="10"/>
          <c:tx>
            <c:strRef>
              <c:f>'OUTPUT│Outcomes Trends'!$O$6</c:f>
              <c:strCache>
                <c:ptCount val="1"/>
                <c:pt idx="0">
                  <c:v>2019-20</c:v>
                </c:pt>
              </c:strCache>
            </c:strRef>
          </c:tx>
          <c:spPr>
            <a:solidFill>
              <a:schemeClr val="accent5">
                <a:lumMod val="60000"/>
              </a:schemeClr>
            </a:solidFill>
            <a:ln w="25400">
              <a:noFill/>
            </a:ln>
            <a:effectLst/>
          </c:spPr>
          <c:invertIfNegative val="0"/>
          <c:dPt>
            <c:idx val="22"/>
            <c:invertIfNegative val="0"/>
            <c:bubble3D val="0"/>
            <c:spPr>
              <a:solidFill>
                <a:srgbClr val="005997"/>
              </a:solidFill>
              <a:ln w="25400">
                <a:noFill/>
              </a:ln>
              <a:effectLst/>
            </c:spPr>
          </c:dPt>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Trends'!$O$7:$O$29</c:f>
              <c:numCache>
                <c:formatCode>General</c:formatCode>
                <c:ptCount val="23"/>
                <c:pt idx="22" formatCode="#,##0.00;\-#,##0.00;\-">
                  <c:v>-62.083537000000007</c:v>
                </c:pt>
              </c:numCache>
            </c:numRef>
          </c:val>
        </c:ser>
        <c:dLbls>
          <c:showLegendKey val="0"/>
          <c:showVal val="0"/>
          <c:showCatName val="0"/>
          <c:showSerName val="0"/>
          <c:showPercent val="0"/>
          <c:showBubbleSize val="0"/>
        </c:dLbls>
        <c:gapWidth val="50"/>
        <c:overlap val="100"/>
        <c:axId val="424760328"/>
        <c:axId val="424760720"/>
      </c:barChart>
      <c:lineChart>
        <c:grouping val="standard"/>
        <c:varyColors val="0"/>
        <c:ser>
          <c:idx val="5"/>
          <c:order val="5"/>
          <c:tx>
            <c:strRef>
              <c:f>'OUTPUT│Outcomes Trends'!$J$6</c:f>
              <c:strCache>
                <c:ptCount val="1"/>
                <c:pt idx="0">
                  <c:v>Net payment</c:v>
                </c:pt>
              </c:strCache>
            </c:strRef>
          </c:tx>
          <c:spPr>
            <a:ln w="28575" cap="rnd">
              <a:noFill/>
              <a:round/>
            </a:ln>
            <a:effectLst/>
          </c:spPr>
          <c:marker>
            <c:symbol val="triangle"/>
            <c:size val="7"/>
            <c:spPr>
              <a:solidFill>
                <a:schemeClr val="tx1"/>
              </a:solidFill>
              <a:ln w="9525">
                <a:noFill/>
              </a:ln>
              <a:effectLst/>
            </c:spPr>
          </c:marker>
          <c:cat>
            <c:strRef>
              <c:f>'OUTPUT│Outcomes Trends'!$D$7:$D$29</c:f>
              <c:strCache>
                <c:ptCount val="23"/>
                <c:pt idx="0">
                  <c:v>SVE</c:v>
                </c:pt>
                <c:pt idx="1">
                  <c:v>YKY</c:v>
                </c:pt>
                <c:pt idx="2">
                  <c:v>UU</c:v>
                </c:pt>
                <c:pt idx="3">
                  <c:v>WSX</c:v>
                </c:pt>
                <c:pt idx="4">
                  <c:v>SWB</c:v>
                </c:pt>
                <c:pt idx="5">
                  <c:v>BRL</c:v>
                </c:pt>
                <c:pt idx="6">
                  <c:v>SSC</c:v>
                </c:pt>
                <c:pt idx="7">
                  <c:v>SEW</c:v>
                </c:pt>
                <c:pt idx="8">
                  <c:v>SES</c:v>
                </c:pt>
                <c:pt idx="9">
                  <c:v>NES</c:v>
                </c:pt>
                <c:pt idx="10">
                  <c:v>HDD</c:v>
                </c:pt>
                <c:pt idx="11">
                  <c:v>PRT</c:v>
                </c:pt>
                <c:pt idx="12">
                  <c:v>AFW</c:v>
                </c:pt>
                <c:pt idx="13">
                  <c:v>SRN</c:v>
                </c:pt>
                <c:pt idx="14">
                  <c:v>WSH</c:v>
                </c:pt>
                <c:pt idx="15">
                  <c:v>ANH</c:v>
                </c:pt>
                <c:pt idx="16">
                  <c:v>TMS</c:v>
                </c:pt>
                <c:pt idx="18">
                  <c:v>Sector 2015-16</c:v>
                </c:pt>
                <c:pt idx="19">
                  <c:v>Sector 2016-17</c:v>
                </c:pt>
                <c:pt idx="20">
                  <c:v>Sector 2017-18</c:v>
                </c:pt>
                <c:pt idx="21">
                  <c:v>Sector 2018-19</c:v>
                </c:pt>
                <c:pt idx="22">
                  <c:v>Sector 2019-20</c:v>
                </c:pt>
              </c:strCache>
            </c:strRef>
          </c:cat>
          <c:val>
            <c:numRef>
              <c:f>'OUTPUT│Outcomes Trends'!$J$7:$J$29</c:f>
              <c:numCache>
                <c:formatCode>0.00</c:formatCode>
                <c:ptCount val="23"/>
                <c:pt idx="0">
                  <c:v>29.512222000000001</c:v>
                </c:pt>
                <c:pt idx="1">
                  <c:v>27.379144000000004</c:v>
                </c:pt>
                <c:pt idx="2">
                  <c:v>16.4666</c:v>
                </c:pt>
                <c:pt idx="3">
                  <c:v>5.6942000000000004</c:v>
                </c:pt>
                <c:pt idx="4">
                  <c:v>2.03776</c:v>
                </c:pt>
                <c:pt idx="5">
                  <c:v>1.8324</c:v>
                </c:pt>
                <c:pt idx="6">
                  <c:v>0.95440000000000003</c:v>
                </c:pt>
                <c:pt idx="7">
                  <c:v>0.47681199999999652</c:v>
                </c:pt>
                <c:pt idx="8">
                  <c:v>0.21999999999999997</c:v>
                </c:pt>
                <c:pt idx="9">
                  <c:v>-0.18975000000000031</c:v>
                </c:pt>
                <c:pt idx="10">
                  <c:v>-0.44798500000000002</c:v>
                </c:pt>
                <c:pt idx="11">
                  <c:v>-0.8839999999999999</c:v>
                </c:pt>
                <c:pt idx="12">
                  <c:v>-1.7374000000000001</c:v>
                </c:pt>
                <c:pt idx="13">
                  <c:v>-2.8005</c:v>
                </c:pt>
                <c:pt idx="14">
                  <c:v>-3.1915000000000004</c:v>
                </c:pt>
                <c:pt idx="15">
                  <c:v>-8.2297999999999973</c:v>
                </c:pt>
                <c:pt idx="16">
                  <c:v>-129.17614</c:v>
                </c:pt>
              </c:numCache>
            </c:numRef>
          </c:val>
          <c:smooth val="0"/>
          <c:extLst xmlns:c16r2="http://schemas.microsoft.com/office/drawing/2015/06/chart">
            <c:ext xmlns:c16="http://schemas.microsoft.com/office/drawing/2014/chart" uri="{C3380CC4-5D6E-409C-BE32-E72D297353CC}">
              <c16:uniqueId val="{0000000D-9E7A-4781-ABFA-47BB658416BA}"/>
            </c:ext>
          </c:extLst>
        </c:ser>
        <c:dLbls>
          <c:showLegendKey val="0"/>
          <c:showVal val="0"/>
          <c:showCatName val="0"/>
          <c:showSerName val="0"/>
          <c:showPercent val="0"/>
          <c:showBubbleSize val="0"/>
        </c:dLbls>
        <c:marker val="1"/>
        <c:smooth val="0"/>
        <c:axId val="424760328"/>
        <c:axId val="424760720"/>
      </c:lineChart>
      <c:catAx>
        <c:axId val="4247603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60720"/>
        <c:crosses val="autoZero"/>
        <c:auto val="1"/>
        <c:lblAlgn val="ctr"/>
        <c:lblOffset val="100"/>
        <c:noMultiLvlLbl val="0"/>
      </c:catAx>
      <c:valAx>
        <c:axId val="424760720"/>
        <c:scaling>
          <c:orientation val="minMax"/>
          <c:max val="60"/>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60328"/>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4</xdr:row>
      <xdr:rowOff>133350</xdr:rowOff>
    </xdr:from>
    <xdr:to>
      <xdr:col>11</xdr:col>
      <xdr:colOff>295767</xdr:colOff>
      <xdr:row>8</xdr:row>
      <xdr:rowOff>78584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24575" y="1085850"/>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45440</xdr:colOff>
      <xdr:row>8</xdr:row>
      <xdr:rowOff>14303</xdr:rowOff>
    </xdr:from>
    <xdr:to>
      <xdr:col>7</xdr:col>
      <xdr:colOff>236423</xdr:colOff>
      <xdr:row>20</xdr:row>
      <xdr:rowOff>60278</xdr:rowOff>
    </xdr:to>
    <xdr:sp macro="" textlink="">
      <xdr:nvSpPr>
        <xdr:cNvPr id="28" name="Rectangle 27">
          <a:extLst>
            <a:ext uri="{FF2B5EF4-FFF2-40B4-BE49-F238E27FC236}">
              <a16:creationId xmlns="" xmlns:a16="http://schemas.microsoft.com/office/drawing/2014/main" id="{00000000-0008-0000-0100-00001C000000}"/>
            </a:ext>
          </a:extLst>
        </xdr:cNvPr>
        <xdr:cNvSpPr/>
      </xdr:nvSpPr>
      <xdr:spPr>
        <a:xfrm>
          <a:off x="2169515" y="1328753"/>
          <a:ext cx="1714983" cy="1989075"/>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000">
            <a:solidFill>
              <a:schemeClr val="tx1"/>
            </a:solidFill>
          </a:endParaRPr>
        </a:p>
      </xdr:txBody>
    </xdr:sp>
    <xdr:clientData/>
  </xdr:twoCellAnchor>
  <xdr:twoCellAnchor>
    <xdr:from>
      <xdr:col>1</xdr:col>
      <xdr:colOff>180975</xdr:colOff>
      <xdr:row>8</xdr:row>
      <xdr:rowOff>143175</xdr:rowOff>
    </xdr:from>
    <xdr:to>
      <xdr:col>3</xdr:col>
      <xdr:colOff>730950</xdr:colOff>
      <xdr:row>11</xdr:row>
      <xdr:rowOff>89400</xdr:rowOff>
    </xdr:to>
    <xdr:sp macro="" textlink="">
      <xdr:nvSpPr>
        <xdr:cNvPr id="29" name="Rectangle 28">
          <a:extLst>
            <a:ext uri="{FF2B5EF4-FFF2-40B4-BE49-F238E27FC236}">
              <a16:creationId xmlns="" xmlns:a16="http://schemas.microsoft.com/office/drawing/2014/main" id="{00000000-0008-0000-0100-00001D000000}"/>
            </a:ext>
          </a:extLst>
        </xdr:cNvPr>
        <xdr:cNvSpPr/>
      </xdr:nvSpPr>
      <xdr:spPr>
        <a:xfrm>
          <a:off x="381000" y="1457625"/>
          <a:ext cx="1512000" cy="432000"/>
        </a:xfrm>
        <a:prstGeom prst="rect">
          <a:avLst/>
        </a:prstGeom>
        <a:solidFill>
          <a:srgbClr val="FFFFCC"/>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INPUTS│Wholesale Totex</a:t>
          </a:r>
        </a:p>
      </xdr:txBody>
    </xdr:sp>
    <xdr:clientData/>
  </xdr:twoCellAnchor>
  <xdr:twoCellAnchor>
    <xdr:from>
      <xdr:col>1</xdr:col>
      <xdr:colOff>180975</xdr:colOff>
      <xdr:row>12</xdr:row>
      <xdr:rowOff>143475</xdr:rowOff>
    </xdr:from>
    <xdr:to>
      <xdr:col>3</xdr:col>
      <xdr:colOff>730950</xdr:colOff>
      <xdr:row>15</xdr:row>
      <xdr:rowOff>89700</xdr:rowOff>
    </xdr:to>
    <xdr:sp macro="" textlink="">
      <xdr:nvSpPr>
        <xdr:cNvPr id="30" name="Rectangle 29">
          <a:extLst>
            <a:ext uri="{FF2B5EF4-FFF2-40B4-BE49-F238E27FC236}">
              <a16:creationId xmlns="" xmlns:a16="http://schemas.microsoft.com/office/drawing/2014/main" id="{00000000-0008-0000-0100-00001E000000}"/>
            </a:ext>
          </a:extLst>
        </xdr:cNvPr>
        <xdr:cNvSpPr/>
      </xdr:nvSpPr>
      <xdr:spPr>
        <a:xfrm>
          <a:off x="381000" y="2105625"/>
          <a:ext cx="1512000" cy="432000"/>
        </a:xfrm>
        <a:prstGeom prst="rect">
          <a:avLst/>
        </a:prstGeom>
        <a:solidFill>
          <a:srgbClr val="FFFFCC"/>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INPUTS│Residential Retail</a:t>
          </a:r>
        </a:p>
      </xdr:txBody>
    </xdr:sp>
    <xdr:clientData/>
  </xdr:twoCellAnchor>
  <xdr:twoCellAnchor>
    <xdr:from>
      <xdr:col>1</xdr:col>
      <xdr:colOff>180975</xdr:colOff>
      <xdr:row>16</xdr:row>
      <xdr:rowOff>143772</xdr:rowOff>
    </xdr:from>
    <xdr:to>
      <xdr:col>3</xdr:col>
      <xdr:colOff>730950</xdr:colOff>
      <xdr:row>19</xdr:row>
      <xdr:rowOff>89997</xdr:rowOff>
    </xdr:to>
    <xdr:sp macro="" textlink="">
      <xdr:nvSpPr>
        <xdr:cNvPr id="31" name="Rectangle 30">
          <a:extLst>
            <a:ext uri="{FF2B5EF4-FFF2-40B4-BE49-F238E27FC236}">
              <a16:creationId xmlns="" xmlns:a16="http://schemas.microsoft.com/office/drawing/2014/main" id="{00000000-0008-0000-0100-00001F000000}"/>
            </a:ext>
          </a:extLst>
        </xdr:cNvPr>
        <xdr:cNvSpPr/>
      </xdr:nvSpPr>
      <xdr:spPr>
        <a:xfrm>
          <a:off x="381000" y="2753622"/>
          <a:ext cx="1512000" cy="432000"/>
        </a:xfrm>
        <a:prstGeom prst="rect">
          <a:avLst/>
        </a:prstGeom>
        <a:solidFill>
          <a:srgbClr val="FFFFCC"/>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INPUTS│Outcomes</a:t>
          </a:r>
        </a:p>
      </xdr:txBody>
    </xdr:sp>
    <xdr:clientData/>
  </xdr:twoCellAnchor>
  <xdr:twoCellAnchor>
    <xdr:from>
      <xdr:col>1</xdr:col>
      <xdr:colOff>180975</xdr:colOff>
      <xdr:row>22</xdr:row>
      <xdr:rowOff>49026</xdr:rowOff>
    </xdr:from>
    <xdr:to>
      <xdr:col>3</xdr:col>
      <xdr:colOff>730950</xdr:colOff>
      <xdr:row>24</xdr:row>
      <xdr:rowOff>157176</xdr:rowOff>
    </xdr:to>
    <xdr:sp macro="" textlink="">
      <xdr:nvSpPr>
        <xdr:cNvPr id="32" name="Rectangle 31">
          <a:extLst>
            <a:ext uri="{FF2B5EF4-FFF2-40B4-BE49-F238E27FC236}">
              <a16:creationId xmlns="" xmlns:a16="http://schemas.microsoft.com/office/drawing/2014/main" id="{00000000-0008-0000-0100-000020000000}"/>
            </a:ext>
          </a:extLst>
        </xdr:cNvPr>
        <xdr:cNvSpPr/>
      </xdr:nvSpPr>
      <xdr:spPr>
        <a:xfrm>
          <a:off x="381000" y="3630426"/>
          <a:ext cx="1512000" cy="432000"/>
        </a:xfrm>
        <a:prstGeom prst="rect">
          <a:avLst/>
        </a:prstGeom>
        <a:solidFill>
          <a:srgbClr val="FFFFCC"/>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INPUTS│Performance Commitments</a:t>
          </a:r>
        </a:p>
      </xdr:txBody>
    </xdr:sp>
    <xdr:clientData/>
  </xdr:twoCellAnchor>
  <xdr:twoCellAnchor>
    <xdr:from>
      <xdr:col>5</xdr:col>
      <xdr:colOff>146925</xdr:colOff>
      <xdr:row>8</xdr:row>
      <xdr:rowOff>143175</xdr:rowOff>
    </xdr:from>
    <xdr:to>
      <xdr:col>7</xdr:col>
      <xdr:colOff>134925</xdr:colOff>
      <xdr:row>11</xdr:row>
      <xdr:rowOff>89400</xdr:rowOff>
    </xdr:to>
    <xdr:sp macro="" textlink="">
      <xdr:nvSpPr>
        <xdr:cNvPr id="33" name="Rectangle 32">
          <a:extLst>
            <a:ext uri="{FF2B5EF4-FFF2-40B4-BE49-F238E27FC236}">
              <a16:creationId xmlns="" xmlns:a16="http://schemas.microsoft.com/office/drawing/2014/main" id="{00000000-0008-0000-0100-000021000000}"/>
            </a:ext>
          </a:extLst>
        </xdr:cNvPr>
        <xdr:cNvSpPr/>
      </xdr:nvSpPr>
      <xdr:spPr>
        <a:xfrm>
          <a:off x="2271000" y="1457625"/>
          <a:ext cx="1512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CALCS│Wholesale Totex</a:t>
          </a:r>
        </a:p>
      </xdr:txBody>
    </xdr:sp>
    <xdr:clientData/>
  </xdr:twoCellAnchor>
  <xdr:twoCellAnchor>
    <xdr:from>
      <xdr:col>5</xdr:col>
      <xdr:colOff>146925</xdr:colOff>
      <xdr:row>12</xdr:row>
      <xdr:rowOff>143475</xdr:rowOff>
    </xdr:from>
    <xdr:to>
      <xdr:col>7</xdr:col>
      <xdr:colOff>134925</xdr:colOff>
      <xdr:row>15</xdr:row>
      <xdr:rowOff>89700</xdr:rowOff>
    </xdr:to>
    <xdr:sp macro="" textlink="">
      <xdr:nvSpPr>
        <xdr:cNvPr id="34" name="Rectangle 33">
          <a:extLst>
            <a:ext uri="{FF2B5EF4-FFF2-40B4-BE49-F238E27FC236}">
              <a16:creationId xmlns="" xmlns:a16="http://schemas.microsoft.com/office/drawing/2014/main" id="{00000000-0008-0000-0100-000022000000}"/>
            </a:ext>
          </a:extLst>
        </xdr:cNvPr>
        <xdr:cNvSpPr/>
      </xdr:nvSpPr>
      <xdr:spPr>
        <a:xfrm>
          <a:off x="2271000" y="2105625"/>
          <a:ext cx="1512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CALCS│Residential Retail</a:t>
          </a:r>
        </a:p>
      </xdr:txBody>
    </xdr:sp>
    <xdr:clientData/>
  </xdr:twoCellAnchor>
  <xdr:twoCellAnchor>
    <xdr:from>
      <xdr:col>5</xdr:col>
      <xdr:colOff>146925</xdr:colOff>
      <xdr:row>16</xdr:row>
      <xdr:rowOff>143772</xdr:rowOff>
    </xdr:from>
    <xdr:to>
      <xdr:col>7</xdr:col>
      <xdr:colOff>134925</xdr:colOff>
      <xdr:row>19</xdr:row>
      <xdr:rowOff>89997</xdr:rowOff>
    </xdr:to>
    <xdr:sp macro="" textlink="">
      <xdr:nvSpPr>
        <xdr:cNvPr id="35" name="Rectangle 34">
          <a:extLst>
            <a:ext uri="{FF2B5EF4-FFF2-40B4-BE49-F238E27FC236}">
              <a16:creationId xmlns="" xmlns:a16="http://schemas.microsoft.com/office/drawing/2014/main" id="{00000000-0008-0000-0100-000023000000}"/>
            </a:ext>
          </a:extLst>
        </xdr:cNvPr>
        <xdr:cNvSpPr/>
      </xdr:nvSpPr>
      <xdr:spPr>
        <a:xfrm>
          <a:off x="2271000" y="2753622"/>
          <a:ext cx="1512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CALCS│Outcomes</a:t>
          </a:r>
        </a:p>
      </xdr:txBody>
    </xdr:sp>
    <xdr:clientData/>
  </xdr:twoCellAnchor>
  <xdr:twoCellAnchor>
    <xdr:from>
      <xdr:col>5</xdr:col>
      <xdr:colOff>146925</xdr:colOff>
      <xdr:row>22</xdr:row>
      <xdr:rowOff>49026</xdr:rowOff>
    </xdr:from>
    <xdr:to>
      <xdr:col>7</xdr:col>
      <xdr:colOff>134925</xdr:colOff>
      <xdr:row>24</xdr:row>
      <xdr:rowOff>157176</xdr:rowOff>
    </xdr:to>
    <xdr:sp macro="" textlink="">
      <xdr:nvSpPr>
        <xdr:cNvPr id="36" name="Rectangle 35">
          <a:extLst>
            <a:ext uri="{FF2B5EF4-FFF2-40B4-BE49-F238E27FC236}">
              <a16:creationId xmlns="" xmlns:a16="http://schemas.microsoft.com/office/drawing/2014/main" id="{00000000-0008-0000-0100-000024000000}"/>
            </a:ext>
          </a:extLst>
        </xdr:cNvPr>
        <xdr:cNvSpPr/>
      </xdr:nvSpPr>
      <xdr:spPr>
        <a:xfrm>
          <a:off x="2271000" y="3630426"/>
          <a:ext cx="1512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CALCS│Performance Commitments</a:t>
          </a:r>
        </a:p>
      </xdr:txBody>
    </xdr:sp>
    <xdr:clientData/>
  </xdr:twoCellAnchor>
  <xdr:twoCellAnchor>
    <xdr:from>
      <xdr:col>7</xdr:col>
      <xdr:colOff>512930</xdr:colOff>
      <xdr:row>4</xdr:row>
      <xdr:rowOff>142875</xdr:rowOff>
    </xdr:from>
    <xdr:to>
      <xdr:col>9</xdr:col>
      <xdr:colOff>248930</xdr:colOff>
      <xdr:row>7</xdr:row>
      <xdr:rowOff>89100</xdr:rowOff>
    </xdr:to>
    <xdr:sp macro="" textlink="">
      <xdr:nvSpPr>
        <xdr:cNvPr id="37" name="Rectangle 36">
          <a:extLst>
            <a:ext uri="{FF2B5EF4-FFF2-40B4-BE49-F238E27FC236}">
              <a16:creationId xmlns="" xmlns:a16="http://schemas.microsoft.com/office/drawing/2014/main" id="{00000000-0008-0000-0100-000025000000}"/>
            </a:ext>
          </a:extLst>
        </xdr:cNvPr>
        <xdr:cNvSpPr/>
      </xdr:nvSpPr>
      <xdr:spPr>
        <a:xfrm>
          <a:off x="4161005" y="809625"/>
          <a:ext cx="1260000" cy="432000"/>
        </a:xfrm>
        <a:prstGeom prst="rect">
          <a:avLst/>
        </a:prstGeom>
        <a:solidFill>
          <a:schemeClr val="bg1">
            <a:lumMod val="95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CALCS│Summary</a:t>
          </a:r>
        </a:p>
      </xdr:txBody>
    </xdr:sp>
    <xdr:clientData/>
  </xdr:twoCellAnchor>
  <xdr:twoCellAnchor>
    <xdr:from>
      <xdr:col>9</xdr:col>
      <xdr:colOff>626929</xdr:colOff>
      <xdr:row>4</xdr:row>
      <xdr:rowOff>142875</xdr:rowOff>
    </xdr:from>
    <xdr:to>
      <xdr:col>11</xdr:col>
      <xdr:colOff>614929</xdr:colOff>
      <xdr:row>7</xdr:row>
      <xdr:rowOff>89100</xdr:rowOff>
    </xdr:to>
    <xdr:sp macro="" textlink="">
      <xdr:nvSpPr>
        <xdr:cNvPr id="38" name="Rectangle 37">
          <a:extLst>
            <a:ext uri="{FF2B5EF4-FFF2-40B4-BE49-F238E27FC236}">
              <a16:creationId xmlns="" xmlns:a16="http://schemas.microsoft.com/office/drawing/2014/main" id="{00000000-0008-0000-0100-000026000000}"/>
            </a:ext>
          </a:extLst>
        </xdr:cNvPr>
        <xdr:cNvSpPr/>
      </xdr:nvSpPr>
      <xdr:spPr>
        <a:xfrm>
          <a:off x="5799004" y="809625"/>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OUTPUT│Summary</a:t>
          </a:r>
        </a:p>
      </xdr:txBody>
    </xdr:sp>
    <xdr:clientData/>
  </xdr:twoCellAnchor>
  <xdr:twoCellAnchor>
    <xdr:from>
      <xdr:col>9</xdr:col>
      <xdr:colOff>626929</xdr:colOff>
      <xdr:row>10</xdr:row>
      <xdr:rowOff>143325</xdr:rowOff>
    </xdr:from>
    <xdr:to>
      <xdr:col>11</xdr:col>
      <xdr:colOff>614929</xdr:colOff>
      <xdr:row>13</xdr:row>
      <xdr:rowOff>89550</xdr:rowOff>
    </xdr:to>
    <xdr:sp macro="" textlink="">
      <xdr:nvSpPr>
        <xdr:cNvPr id="39" name="Rectangle 38">
          <a:extLst>
            <a:ext uri="{FF2B5EF4-FFF2-40B4-BE49-F238E27FC236}">
              <a16:creationId xmlns="" xmlns:a16="http://schemas.microsoft.com/office/drawing/2014/main" id="{00000000-0008-0000-0100-000027000000}"/>
            </a:ext>
          </a:extLst>
        </xdr:cNvPr>
        <xdr:cNvSpPr/>
      </xdr:nvSpPr>
      <xdr:spPr>
        <a:xfrm>
          <a:off x="5799004" y="1781625"/>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OUTPUT│Totex</a:t>
          </a:r>
        </a:p>
      </xdr:txBody>
    </xdr:sp>
    <xdr:clientData/>
  </xdr:twoCellAnchor>
  <xdr:twoCellAnchor>
    <xdr:from>
      <xdr:col>9</xdr:col>
      <xdr:colOff>626929</xdr:colOff>
      <xdr:row>16</xdr:row>
      <xdr:rowOff>143772</xdr:rowOff>
    </xdr:from>
    <xdr:to>
      <xdr:col>11</xdr:col>
      <xdr:colOff>614929</xdr:colOff>
      <xdr:row>19</xdr:row>
      <xdr:rowOff>89997</xdr:rowOff>
    </xdr:to>
    <xdr:sp macro="" textlink="">
      <xdr:nvSpPr>
        <xdr:cNvPr id="40" name="Rectangle 39">
          <a:extLst>
            <a:ext uri="{FF2B5EF4-FFF2-40B4-BE49-F238E27FC236}">
              <a16:creationId xmlns="" xmlns:a16="http://schemas.microsoft.com/office/drawing/2014/main" id="{00000000-0008-0000-0100-000028000000}"/>
            </a:ext>
          </a:extLst>
        </xdr:cNvPr>
        <xdr:cNvSpPr/>
      </xdr:nvSpPr>
      <xdr:spPr>
        <a:xfrm>
          <a:off x="5799004" y="2753622"/>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OUTPUT│Outcomes Trends</a:t>
          </a:r>
        </a:p>
      </xdr:txBody>
    </xdr:sp>
    <xdr:clientData/>
  </xdr:twoCellAnchor>
  <xdr:twoCellAnchor>
    <xdr:from>
      <xdr:col>9</xdr:col>
      <xdr:colOff>626929</xdr:colOff>
      <xdr:row>22</xdr:row>
      <xdr:rowOff>49026</xdr:rowOff>
    </xdr:from>
    <xdr:to>
      <xdr:col>11</xdr:col>
      <xdr:colOff>614929</xdr:colOff>
      <xdr:row>24</xdr:row>
      <xdr:rowOff>157176</xdr:rowOff>
    </xdr:to>
    <xdr:sp macro="" textlink="">
      <xdr:nvSpPr>
        <xdr:cNvPr id="41" name="Rectangle 40">
          <a:extLst>
            <a:ext uri="{FF2B5EF4-FFF2-40B4-BE49-F238E27FC236}">
              <a16:creationId xmlns="" xmlns:a16="http://schemas.microsoft.com/office/drawing/2014/main" id="{00000000-0008-0000-0100-000029000000}"/>
            </a:ext>
          </a:extLst>
        </xdr:cNvPr>
        <xdr:cNvSpPr/>
      </xdr:nvSpPr>
      <xdr:spPr>
        <a:xfrm>
          <a:off x="5799004" y="3630426"/>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OUTPUT│Performance Commitments</a:t>
          </a:r>
        </a:p>
      </xdr:txBody>
    </xdr:sp>
    <xdr:clientData/>
  </xdr:twoCellAnchor>
  <xdr:twoCellAnchor>
    <xdr:from>
      <xdr:col>3</xdr:col>
      <xdr:colOff>730950</xdr:colOff>
      <xdr:row>10</xdr:row>
      <xdr:rowOff>35325</xdr:rowOff>
    </xdr:from>
    <xdr:to>
      <xdr:col>5</xdr:col>
      <xdr:colOff>146925</xdr:colOff>
      <xdr:row>10</xdr:row>
      <xdr:rowOff>35325</xdr:rowOff>
    </xdr:to>
    <xdr:cxnSp macro="">
      <xdr:nvCxnSpPr>
        <xdr:cNvPr id="42" name="Straight Arrow Connector 41">
          <a:extLst>
            <a:ext uri="{FF2B5EF4-FFF2-40B4-BE49-F238E27FC236}">
              <a16:creationId xmlns="" xmlns:a16="http://schemas.microsoft.com/office/drawing/2014/main" id="{00000000-0008-0000-0100-00002A000000}"/>
            </a:ext>
          </a:extLst>
        </xdr:cNvPr>
        <xdr:cNvCxnSpPr>
          <a:stCxn id="29" idx="3"/>
          <a:endCxn id="33" idx="1"/>
        </xdr:cNvCxnSpPr>
      </xdr:nvCxnSpPr>
      <xdr:spPr>
        <a:xfrm>
          <a:off x="1893000" y="1673625"/>
          <a:ext cx="378000"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730950</xdr:colOff>
      <xdr:row>14</xdr:row>
      <xdr:rowOff>35625</xdr:rowOff>
    </xdr:from>
    <xdr:to>
      <xdr:col>5</xdr:col>
      <xdr:colOff>146925</xdr:colOff>
      <xdr:row>14</xdr:row>
      <xdr:rowOff>35625</xdr:rowOff>
    </xdr:to>
    <xdr:cxnSp macro="">
      <xdr:nvCxnSpPr>
        <xdr:cNvPr id="43" name="Straight Arrow Connector 42">
          <a:extLst>
            <a:ext uri="{FF2B5EF4-FFF2-40B4-BE49-F238E27FC236}">
              <a16:creationId xmlns="" xmlns:a16="http://schemas.microsoft.com/office/drawing/2014/main" id="{00000000-0008-0000-0100-00002B000000}"/>
            </a:ext>
          </a:extLst>
        </xdr:cNvPr>
        <xdr:cNvCxnSpPr>
          <a:stCxn id="30" idx="3"/>
          <a:endCxn id="34" idx="1"/>
        </xdr:cNvCxnSpPr>
      </xdr:nvCxnSpPr>
      <xdr:spPr>
        <a:xfrm>
          <a:off x="1893000" y="2321625"/>
          <a:ext cx="378000"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730950</xdr:colOff>
      <xdr:row>18</xdr:row>
      <xdr:rowOff>35922</xdr:rowOff>
    </xdr:from>
    <xdr:to>
      <xdr:col>5</xdr:col>
      <xdr:colOff>146925</xdr:colOff>
      <xdr:row>18</xdr:row>
      <xdr:rowOff>35922</xdr:rowOff>
    </xdr:to>
    <xdr:cxnSp macro="">
      <xdr:nvCxnSpPr>
        <xdr:cNvPr id="44" name="Straight Arrow Connector 43">
          <a:extLst>
            <a:ext uri="{FF2B5EF4-FFF2-40B4-BE49-F238E27FC236}">
              <a16:creationId xmlns="" xmlns:a16="http://schemas.microsoft.com/office/drawing/2014/main" id="{00000000-0008-0000-0100-00002C000000}"/>
            </a:ext>
          </a:extLst>
        </xdr:cNvPr>
        <xdr:cNvCxnSpPr>
          <a:stCxn id="31" idx="3"/>
          <a:endCxn id="35" idx="1"/>
        </xdr:cNvCxnSpPr>
      </xdr:nvCxnSpPr>
      <xdr:spPr>
        <a:xfrm>
          <a:off x="1893000" y="2969622"/>
          <a:ext cx="378000"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730950</xdr:colOff>
      <xdr:row>23</xdr:row>
      <xdr:rowOff>103101</xdr:rowOff>
    </xdr:from>
    <xdr:to>
      <xdr:col>5</xdr:col>
      <xdr:colOff>146925</xdr:colOff>
      <xdr:row>23</xdr:row>
      <xdr:rowOff>103101</xdr:rowOff>
    </xdr:to>
    <xdr:cxnSp macro="">
      <xdr:nvCxnSpPr>
        <xdr:cNvPr id="45" name="Straight Arrow Connector 44">
          <a:extLst>
            <a:ext uri="{FF2B5EF4-FFF2-40B4-BE49-F238E27FC236}">
              <a16:creationId xmlns="" xmlns:a16="http://schemas.microsoft.com/office/drawing/2014/main" id="{00000000-0008-0000-0100-00002D000000}"/>
            </a:ext>
          </a:extLst>
        </xdr:cNvPr>
        <xdr:cNvCxnSpPr>
          <a:stCxn id="32" idx="3"/>
          <a:endCxn id="36" idx="1"/>
        </xdr:cNvCxnSpPr>
      </xdr:nvCxnSpPr>
      <xdr:spPr>
        <a:xfrm>
          <a:off x="1893000" y="3846426"/>
          <a:ext cx="378000"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134925</xdr:colOff>
      <xdr:row>18</xdr:row>
      <xdr:rowOff>35922</xdr:rowOff>
    </xdr:from>
    <xdr:to>
      <xdr:col>9</xdr:col>
      <xdr:colOff>626929</xdr:colOff>
      <xdr:row>18</xdr:row>
      <xdr:rowOff>35922</xdr:rowOff>
    </xdr:to>
    <xdr:cxnSp macro="">
      <xdr:nvCxnSpPr>
        <xdr:cNvPr id="46" name="Straight Arrow Connector 45">
          <a:extLst>
            <a:ext uri="{FF2B5EF4-FFF2-40B4-BE49-F238E27FC236}">
              <a16:creationId xmlns="" xmlns:a16="http://schemas.microsoft.com/office/drawing/2014/main" id="{00000000-0008-0000-0100-00002E000000}"/>
            </a:ext>
          </a:extLst>
        </xdr:cNvPr>
        <xdr:cNvCxnSpPr>
          <a:stCxn id="35" idx="3"/>
          <a:endCxn id="40" idx="1"/>
        </xdr:cNvCxnSpPr>
      </xdr:nvCxnSpPr>
      <xdr:spPr>
        <a:xfrm>
          <a:off x="3783000" y="2969622"/>
          <a:ext cx="2016004"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134925</xdr:colOff>
      <xdr:row>23</xdr:row>
      <xdr:rowOff>103101</xdr:rowOff>
    </xdr:from>
    <xdr:to>
      <xdr:col>9</xdr:col>
      <xdr:colOff>626929</xdr:colOff>
      <xdr:row>23</xdr:row>
      <xdr:rowOff>103101</xdr:rowOff>
    </xdr:to>
    <xdr:cxnSp macro="">
      <xdr:nvCxnSpPr>
        <xdr:cNvPr id="47" name="Straight Arrow Connector 46">
          <a:extLst>
            <a:ext uri="{FF2B5EF4-FFF2-40B4-BE49-F238E27FC236}">
              <a16:creationId xmlns="" xmlns:a16="http://schemas.microsoft.com/office/drawing/2014/main" id="{00000000-0008-0000-0100-00002F000000}"/>
            </a:ext>
          </a:extLst>
        </xdr:cNvPr>
        <xdr:cNvCxnSpPr>
          <a:stCxn id="36" idx="3"/>
          <a:endCxn id="41" idx="1"/>
        </xdr:cNvCxnSpPr>
      </xdr:nvCxnSpPr>
      <xdr:spPr>
        <a:xfrm>
          <a:off x="3783000" y="3846426"/>
          <a:ext cx="2016004"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248930</xdr:colOff>
      <xdr:row>6</xdr:row>
      <xdr:rowOff>35025</xdr:rowOff>
    </xdr:from>
    <xdr:to>
      <xdr:col>9</xdr:col>
      <xdr:colOff>626929</xdr:colOff>
      <xdr:row>6</xdr:row>
      <xdr:rowOff>35025</xdr:rowOff>
    </xdr:to>
    <xdr:cxnSp macro="">
      <xdr:nvCxnSpPr>
        <xdr:cNvPr id="48" name="Straight Arrow Connector 47">
          <a:extLst>
            <a:ext uri="{FF2B5EF4-FFF2-40B4-BE49-F238E27FC236}">
              <a16:creationId xmlns="" xmlns:a16="http://schemas.microsoft.com/office/drawing/2014/main" id="{00000000-0008-0000-0100-000030000000}"/>
            </a:ext>
          </a:extLst>
        </xdr:cNvPr>
        <xdr:cNvCxnSpPr>
          <a:stCxn id="37" idx="3"/>
          <a:endCxn id="38" idx="1"/>
        </xdr:cNvCxnSpPr>
      </xdr:nvCxnSpPr>
      <xdr:spPr>
        <a:xfrm>
          <a:off x="5421005" y="1025625"/>
          <a:ext cx="377999" cy="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620929</xdr:colOff>
      <xdr:row>7</xdr:row>
      <xdr:rowOff>89100</xdr:rowOff>
    </xdr:from>
    <xdr:to>
      <xdr:col>10</xdr:col>
      <xdr:colOff>620929</xdr:colOff>
      <xdr:row>10</xdr:row>
      <xdr:rowOff>143325</xdr:rowOff>
    </xdr:to>
    <xdr:cxnSp macro="">
      <xdr:nvCxnSpPr>
        <xdr:cNvPr id="49" name="Straight Arrow Connector 48">
          <a:extLst>
            <a:ext uri="{FF2B5EF4-FFF2-40B4-BE49-F238E27FC236}">
              <a16:creationId xmlns="" xmlns:a16="http://schemas.microsoft.com/office/drawing/2014/main" id="{00000000-0008-0000-0100-000031000000}"/>
            </a:ext>
          </a:extLst>
        </xdr:cNvPr>
        <xdr:cNvCxnSpPr>
          <a:stCxn id="39" idx="0"/>
          <a:endCxn id="38" idx="2"/>
        </xdr:cNvCxnSpPr>
      </xdr:nvCxnSpPr>
      <xdr:spPr>
        <a:xfrm flipV="1">
          <a:off x="6555004" y="1241625"/>
          <a:ext cx="0" cy="54000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134925</xdr:colOff>
      <xdr:row>18</xdr:row>
      <xdr:rowOff>35922</xdr:rowOff>
    </xdr:from>
    <xdr:to>
      <xdr:col>9</xdr:col>
      <xdr:colOff>626929</xdr:colOff>
      <xdr:row>23</xdr:row>
      <xdr:rowOff>103101</xdr:rowOff>
    </xdr:to>
    <xdr:cxnSp macro="">
      <xdr:nvCxnSpPr>
        <xdr:cNvPr id="50" name="Straight Arrow Connector 49">
          <a:extLst>
            <a:ext uri="{FF2B5EF4-FFF2-40B4-BE49-F238E27FC236}">
              <a16:creationId xmlns="" xmlns:a16="http://schemas.microsoft.com/office/drawing/2014/main" id="{00000000-0008-0000-0100-000032000000}"/>
            </a:ext>
          </a:extLst>
        </xdr:cNvPr>
        <xdr:cNvCxnSpPr>
          <a:stCxn id="35" idx="3"/>
          <a:endCxn id="41" idx="1"/>
        </xdr:cNvCxnSpPr>
      </xdr:nvCxnSpPr>
      <xdr:spPr>
        <a:xfrm>
          <a:off x="3783000" y="2969622"/>
          <a:ext cx="2016004" cy="876804"/>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140932</xdr:colOff>
      <xdr:row>6</xdr:row>
      <xdr:rowOff>35025</xdr:rowOff>
    </xdr:from>
    <xdr:to>
      <xdr:col>7</xdr:col>
      <xdr:colOff>512930</xdr:colOff>
      <xdr:row>8</xdr:row>
      <xdr:rowOff>14303</xdr:rowOff>
    </xdr:to>
    <xdr:cxnSp macro="">
      <xdr:nvCxnSpPr>
        <xdr:cNvPr id="51" name="Elbow Connector 50">
          <a:extLst>
            <a:ext uri="{FF2B5EF4-FFF2-40B4-BE49-F238E27FC236}">
              <a16:creationId xmlns="" xmlns:a16="http://schemas.microsoft.com/office/drawing/2014/main" id="{00000000-0008-0000-0100-000033000000}"/>
            </a:ext>
          </a:extLst>
        </xdr:cNvPr>
        <xdr:cNvCxnSpPr>
          <a:stCxn id="28" idx="0"/>
          <a:endCxn id="37" idx="1"/>
        </xdr:cNvCxnSpPr>
      </xdr:nvCxnSpPr>
      <xdr:spPr>
        <a:xfrm rot="5400000" flipH="1" flipV="1">
          <a:off x="3442442" y="610190"/>
          <a:ext cx="303128" cy="1133998"/>
        </a:xfrm>
        <a:prstGeom prst="bentConnector2">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134925</xdr:colOff>
      <xdr:row>10</xdr:row>
      <xdr:rowOff>35325</xdr:rowOff>
    </xdr:from>
    <xdr:to>
      <xdr:col>9</xdr:col>
      <xdr:colOff>626929</xdr:colOff>
      <xdr:row>12</xdr:row>
      <xdr:rowOff>35475</xdr:rowOff>
    </xdr:to>
    <xdr:cxnSp macro="">
      <xdr:nvCxnSpPr>
        <xdr:cNvPr id="52" name="Elbow Connector 51">
          <a:extLst>
            <a:ext uri="{FF2B5EF4-FFF2-40B4-BE49-F238E27FC236}">
              <a16:creationId xmlns="" xmlns:a16="http://schemas.microsoft.com/office/drawing/2014/main" id="{00000000-0008-0000-0100-000034000000}"/>
            </a:ext>
          </a:extLst>
        </xdr:cNvPr>
        <xdr:cNvCxnSpPr>
          <a:stCxn id="33" idx="3"/>
          <a:endCxn id="39" idx="1"/>
        </xdr:cNvCxnSpPr>
      </xdr:nvCxnSpPr>
      <xdr:spPr>
        <a:xfrm>
          <a:off x="3783000" y="1673625"/>
          <a:ext cx="2016004" cy="324000"/>
        </a:xfrm>
        <a:prstGeom prst="bentConnector3">
          <a:avLst>
            <a:gd name="adj1" fmla="val 50000"/>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134925</xdr:colOff>
      <xdr:row>12</xdr:row>
      <xdr:rowOff>35475</xdr:rowOff>
    </xdr:from>
    <xdr:to>
      <xdr:col>9</xdr:col>
      <xdr:colOff>626929</xdr:colOff>
      <xdr:row>14</xdr:row>
      <xdr:rowOff>35625</xdr:rowOff>
    </xdr:to>
    <xdr:cxnSp macro="">
      <xdr:nvCxnSpPr>
        <xdr:cNvPr id="53" name="Elbow Connector 52">
          <a:extLst>
            <a:ext uri="{FF2B5EF4-FFF2-40B4-BE49-F238E27FC236}">
              <a16:creationId xmlns="" xmlns:a16="http://schemas.microsoft.com/office/drawing/2014/main" id="{00000000-0008-0000-0100-000035000000}"/>
            </a:ext>
          </a:extLst>
        </xdr:cNvPr>
        <xdr:cNvCxnSpPr>
          <a:stCxn id="34" idx="3"/>
          <a:endCxn id="39" idx="1"/>
        </xdr:cNvCxnSpPr>
      </xdr:nvCxnSpPr>
      <xdr:spPr>
        <a:xfrm flipV="1">
          <a:off x="3783000" y="1997625"/>
          <a:ext cx="2016004" cy="324000"/>
        </a:xfrm>
        <a:prstGeom prst="bentConnector3">
          <a:avLst>
            <a:gd name="adj1" fmla="val 50000"/>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626929</xdr:colOff>
      <xdr:row>27</xdr:row>
      <xdr:rowOff>29976</xdr:rowOff>
    </xdr:from>
    <xdr:to>
      <xdr:col>11</xdr:col>
      <xdr:colOff>614929</xdr:colOff>
      <xdr:row>29</xdr:row>
      <xdr:rowOff>138126</xdr:rowOff>
    </xdr:to>
    <xdr:sp macro="" textlink="">
      <xdr:nvSpPr>
        <xdr:cNvPr id="54" name="Rectangle 53">
          <a:extLst>
            <a:ext uri="{FF2B5EF4-FFF2-40B4-BE49-F238E27FC236}">
              <a16:creationId xmlns="" xmlns:a16="http://schemas.microsoft.com/office/drawing/2014/main" id="{00000000-0008-0000-0100-000029000000}"/>
            </a:ext>
          </a:extLst>
        </xdr:cNvPr>
        <xdr:cNvSpPr/>
      </xdr:nvSpPr>
      <xdr:spPr>
        <a:xfrm>
          <a:off x="5799004" y="4421001"/>
          <a:ext cx="1512000" cy="432000"/>
        </a:xfrm>
        <a:prstGeom prst="rect">
          <a:avLst/>
        </a:prstGeom>
        <a:solidFill>
          <a:schemeClr val="tx2">
            <a:lumMod val="20000"/>
            <a:lumOff val="8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a:solidFill>
                <a:schemeClr val="tx1"/>
              </a:solidFill>
            </a:rPr>
            <a:t>OUTPUT│Environment</a:t>
          </a:r>
        </a:p>
      </xdr:txBody>
    </xdr:sp>
    <xdr:clientData/>
  </xdr:twoCellAnchor>
  <xdr:twoCellAnchor>
    <xdr:from>
      <xdr:col>2</xdr:col>
      <xdr:colOff>736951</xdr:colOff>
      <xdr:row>24</xdr:row>
      <xdr:rowOff>157175</xdr:rowOff>
    </xdr:from>
    <xdr:to>
      <xdr:col>9</xdr:col>
      <xdr:colOff>626930</xdr:colOff>
      <xdr:row>28</xdr:row>
      <xdr:rowOff>84050</xdr:rowOff>
    </xdr:to>
    <xdr:cxnSp macro="">
      <xdr:nvCxnSpPr>
        <xdr:cNvPr id="55" name="Elbow Connector 54">
          <a:extLst>
            <a:ext uri="{FF2B5EF4-FFF2-40B4-BE49-F238E27FC236}">
              <a16:creationId xmlns="" xmlns:a16="http://schemas.microsoft.com/office/drawing/2014/main" id="{00000000-0008-0000-0100-000034000000}"/>
            </a:ext>
          </a:extLst>
        </xdr:cNvPr>
        <xdr:cNvCxnSpPr>
          <a:stCxn id="32" idx="2"/>
          <a:endCxn id="54" idx="1"/>
        </xdr:cNvCxnSpPr>
      </xdr:nvCxnSpPr>
      <xdr:spPr>
        <a:xfrm rot="16200000" flipH="1">
          <a:off x="3180715" y="2018711"/>
          <a:ext cx="574575" cy="4662004"/>
        </a:xfrm>
        <a:prstGeom prst="bentConnector2">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142875</xdr:colOff>
      <xdr:row>32</xdr:row>
      <xdr:rowOff>19050</xdr:rowOff>
    </xdr:from>
    <xdr:to>
      <xdr:col>14</xdr:col>
      <xdr:colOff>553725</xdr:colOff>
      <xdr:row>48</xdr:row>
      <xdr:rowOff>128250</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54</xdr:row>
      <xdr:rowOff>114300</xdr:rowOff>
    </xdr:from>
    <xdr:to>
      <xdr:col>14</xdr:col>
      <xdr:colOff>591825</xdr:colOff>
      <xdr:row>71</xdr:row>
      <xdr:rowOff>61575</xdr:rowOff>
    </xdr:to>
    <xdr:graphicFrame macro="">
      <xdr:nvGraphicFramePr>
        <xdr:cNvPr id="3" name="Chart 2">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120</xdr:row>
      <xdr:rowOff>0</xdr:rowOff>
    </xdr:from>
    <xdr:to>
      <xdr:col>9</xdr:col>
      <xdr:colOff>163200</xdr:colOff>
      <xdr:row>136</xdr:row>
      <xdr:rowOff>109200</xdr:rowOff>
    </xdr:to>
    <xdr:graphicFrame macro="">
      <xdr:nvGraphicFramePr>
        <xdr:cNvPr id="7" name="Chart 6">
          <a:extLst>
            <a:ext uri="{FF2B5EF4-FFF2-40B4-BE49-F238E27FC236}">
              <a16:creationId xmlns=""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253</xdr:row>
      <xdr:rowOff>0</xdr:rowOff>
    </xdr:from>
    <xdr:to>
      <xdr:col>13</xdr:col>
      <xdr:colOff>239400</xdr:colOff>
      <xdr:row>269</xdr:row>
      <xdr:rowOff>109200</xdr:rowOff>
    </xdr:to>
    <xdr:graphicFrame macro="">
      <xdr:nvGraphicFramePr>
        <xdr:cNvPr id="8" name="Chart 7">
          <a:extLst>
            <a:ext uri="{FF2B5EF4-FFF2-40B4-BE49-F238E27FC236}">
              <a16:creationId xmlns="" xmlns:a16="http://schemas.microsoft.com/office/drawing/2014/main"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232</xdr:row>
      <xdr:rowOff>0</xdr:rowOff>
    </xdr:from>
    <xdr:to>
      <xdr:col>9</xdr:col>
      <xdr:colOff>163200</xdr:colOff>
      <xdr:row>248</xdr:row>
      <xdr:rowOff>109200</xdr:rowOff>
    </xdr:to>
    <xdr:graphicFrame macro="">
      <xdr:nvGraphicFramePr>
        <xdr:cNvPr id="9" name="Chart 8">
          <a:extLst>
            <a:ext uri="{FF2B5EF4-FFF2-40B4-BE49-F238E27FC236}">
              <a16:creationId xmlns="" xmlns:a16="http://schemas.microsoft.com/office/drawing/2014/main" id="{00000000-0008-0000-1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276</xdr:row>
      <xdr:rowOff>0</xdr:rowOff>
    </xdr:from>
    <xdr:to>
      <xdr:col>9</xdr:col>
      <xdr:colOff>163200</xdr:colOff>
      <xdr:row>292</xdr:row>
      <xdr:rowOff>109200</xdr:rowOff>
    </xdr:to>
    <xdr:graphicFrame macro="">
      <xdr:nvGraphicFramePr>
        <xdr:cNvPr id="11" name="Chart 10">
          <a:extLst>
            <a:ext uri="{FF2B5EF4-FFF2-40B4-BE49-F238E27FC236}">
              <a16:creationId xmlns=""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266699</xdr:colOff>
      <xdr:row>360</xdr:row>
      <xdr:rowOff>109538</xdr:rowOff>
    </xdr:from>
    <xdr:to>
      <xdr:col>18</xdr:col>
      <xdr:colOff>506099</xdr:colOff>
      <xdr:row>377</xdr:row>
      <xdr:rowOff>56813</xdr:rowOff>
    </xdr:to>
    <xdr:graphicFrame macro="">
      <xdr:nvGraphicFramePr>
        <xdr:cNvPr id="19" name="Chart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338137</xdr:colOff>
      <xdr:row>319</xdr:row>
      <xdr:rowOff>157162</xdr:rowOff>
    </xdr:from>
    <xdr:to>
      <xdr:col>16</xdr:col>
      <xdr:colOff>577537</xdr:colOff>
      <xdr:row>336</xdr:row>
      <xdr:rowOff>104437</xdr:rowOff>
    </xdr:to>
    <xdr:graphicFrame macro="">
      <xdr:nvGraphicFramePr>
        <xdr:cNvPr id="23" name="Chart 22">
          <a:extLst>
            <a:ext uri="{FF2B5EF4-FFF2-40B4-BE49-F238E27FC236}">
              <a16:creationId xmlns="" xmlns:a16="http://schemas.microsoft.com/office/drawing/2014/main" id="{00000000-0008-0000-1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32</xdr:row>
      <xdr:rowOff>0</xdr:rowOff>
    </xdr:from>
    <xdr:to>
      <xdr:col>9</xdr:col>
      <xdr:colOff>163200</xdr:colOff>
      <xdr:row>48</xdr:row>
      <xdr:rowOff>109200</xdr:rowOff>
    </xdr:to>
    <xdr:graphicFrame macro="">
      <xdr:nvGraphicFramePr>
        <xdr:cNvPr id="17" name="Chart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53</xdr:row>
      <xdr:rowOff>0</xdr:rowOff>
    </xdr:from>
    <xdr:to>
      <xdr:col>13</xdr:col>
      <xdr:colOff>239400</xdr:colOff>
      <xdr:row>69</xdr:row>
      <xdr:rowOff>109200</xdr:rowOff>
    </xdr:to>
    <xdr:graphicFrame macro="">
      <xdr:nvGraphicFramePr>
        <xdr:cNvPr id="20" name="Chart 19">
          <a:extLst>
            <a:ext uri="{FF2B5EF4-FFF2-40B4-BE49-F238E27FC236}">
              <a16:creationId xmlns="" xmlns:a16="http://schemas.microsoft.com/office/drawing/2014/main" id="{00000000-0008-0000-1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188</xdr:row>
      <xdr:rowOff>0</xdr:rowOff>
    </xdr:from>
    <xdr:to>
      <xdr:col>9</xdr:col>
      <xdr:colOff>163200</xdr:colOff>
      <xdr:row>204</xdr:row>
      <xdr:rowOff>109200</xdr:rowOff>
    </xdr:to>
    <xdr:graphicFrame macro="">
      <xdr:nvGraphicFramePr>
        <xdr:cNvPr id="21" name="Chart 20">
          <a:extLst>
            <a:ext uri="{FF2B5EF4-FFF2-40B4-BE49-F238E27FC236}">
              <a16:creationId xmlns="" xmlns:a16="http://schemas.microsoft.com/office/drawing/2014/main" id="{00000000-0008-0000-1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141</xdr:row>
      <xdr:rowOff>0</xdr:rowOff>
    </xdr:from>
    <xdr:to>
      <xdr:col>14</xdr:col>
      <xdr:colOff>239400</xdr:colOff>
      <xdr:row>157</xdr:row>
      <xdr:rowOff>109200</xdr:rowOff>
    </xdr:to>
    <xdr:graphicFrame macro="">
      <xdr:nvGraphicFramePr>
        <xdr:cNvPr id="18" name="Chart 17">
          <a:extLst>
            <a:ext uri="{FF2B5EF4-FFF2-40B4-BE49-F238E27FC236}">
              <a16:creationId xmlns=""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163</xdr:row>
      <xdr:rowOff>0</xdr:rowOff>
    </xdr:from>
    <xdr:to>
      <xdr:col>14</xdr:col>
      <xdr:colOff>239400</xdr:colOff>
      <xdr:row>179</xdr:row>
      <xdr:rowOff>109200</xdr:rowOff>
    </xdr:to>
    <xdr:graphicFrame macro="">
      <xdr:nvGraphicFramePr>
        <xdr:cNvPr id="25" name="Chart 24">
          <a:extLst>
            <a:ext uri="{FF2B5EF4-FFF2-40B4-BE49-F238E27FC236}">
              <a16:creationId xmlns=""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209</xdr:row>
      <xdr:rowOff>0</xdr:rowOff>
    </xdr:from>
    <xdr:to>
      <xdr:col>14</xdr:col>
      <xdr:colOff>239400</xdr:colOff>
      <xdr:row>225</xdr:row>
      <xdr:rowOff>109200</xdr:rowOff>
    </xdr:to>
    <xdr:graphicFrame macro="">
      <xdr:nvGraphicFramePr>
        <xdr:cNvPr id="27" name="Chart 26">
          <a:extLst>
            <a:ext uri="{FF2B5EF4-FFF2-40B4-BE49-F238E27FC236}">
              <a16:creationId xmlns=""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297</xdr:row>
      <xdr:rowOff>0</xdr:rowOff>
    </xdr:from>
    <xdr:to>
      <xdr:col>14</xdr:col>
      <xdr:colOff>239400</xdr:colOff>
      <xdr:row>313</xdr:row>
      <xdr:rowOff>109200</xdr:rowOff>
    </xdr:to>
    <xdr:graphicFrame macro="">
      <xdr:nvGraphicFramePr>
        <xdr:cNvPr id="28" name="Chart 27">
          <a:extLst>
            <a:ext uri="{FF2B5EF4-FFF2-40B4-BE49-F238E27FC236}">
              <a16:creationId xmlns="" xmlns:a16="http://schemas.microsoft.com/office/drawing/2014/main" id="{00000000-0008-0000-1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340</xdr:row>
      <xdr:rowOff>0</xdr:rowOff>
    </xdr:from>
    <xdr:to>
      <xdr:col>14</xdr:col>
      <xdr:colOff>239400</xdr:colOff>
      <xdr:row>355</xdr:row>
      <xdr:rowOff>109200</xdr:rowOff>
    </xdr:to>
    <xdr:graphicFrame macro="">
      <xdr:nvGraphicFramePr>
        <xdr:cNvPr id="29" name="Chart 28">
          <a:extLst>
            <a:ext uri="{FF2B5EF4-FFF2-40B4-BE49-F238E27FC236}">
              <a16:creationId xmlns="" xmlns:a16="http://schemas.microsoft.com/office/drawing/2014/main" id="{00000000-0008-0000-1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381</xdr:row>
      <xdr:rowOff>0</xdr:rowOff>
    </xdr:from>
    <xdr:to>
      <xdr:col>14</xdr:col>
      <xdr:colOff>239400</xdr:colOff>
      <xdr:row>396</xdr:row>
      <xdr:rowOff>109200</xdr:rowOff>
    </xdr:to>
    <xdr:graphicFrame macro="">
      <xdr:nvGraphicFramePr>
        <xdr:cNvPr id="30" name="Chart 29">
          <a:extLst>
            <a:ext uri="{FF2B5EF4-FFF2-40B4-BE49-F238E27FC236}">
              <a16:creationId xmlns="" xmlns:a16="http://schemas.microsoft.com/office/drawing/2014/main" id="{00000000-0008-0000-1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75</xdr:row>
      <xdr:rowOff>0</xdr:rowOff>
    </xdr:from>
    <xdr:to>
      <xdr:col>13</xdr:col>
      <xdr:colOff>239400</xdr:colOff>
      <xdr:row>91</xdr:row>
      <xdr:rowOff>109200</xdr:rowOff>
    </xdr:to>
    <xdr:graphicFrame macro="">
      <xdr:nvGraphicFramePr>
        <xdr:cNvPr id="31" name="Chart 30">
          <a:extLst>
            <a:ext uri="{FF2B5EF4-FFF2-40B4-BE49-F238E27FC236}">
              <a16:creationId xmlns="" xmlns:a16="http://schemas.microsoft.com/office/drawing/2014/main" id="{00000000-0008-0000-1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97</xdr:row>
      <xdr:rowOff>0</xdr:rowOff>
    </xdr:from>
    <xdr:to>
      <xdr:col>13</xdr:col>
      <xdr:colOff>239400</xdr:colOff>
      <xdr:row>113</xdr:row>
      <xdr:rowOff>109200</xdr:rowOff>
    </xdr:to>
    <xdr:graphicFrame macro="">
      <xdr:nvGraphicFramePr>
        <xdr:cNvPr id="33" name="Chart 32">
          <a:extLst>
            <a:ext uri="{FF2B5EF4-FFF2-40B4-BE49-F238E27FC236}">
              <a16:creationId xmlns="" xmlns:a16="http://schemas.microsoft.com/office/drawing/2014/main" id="{00000000-0008-0000-1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water-and-sewerage-companies-in-england-environmental-performance-report-2019" TargetMode="External"/><Relationship Id="rId7" Type="http://schemas.openxmlformats.org/officeDocument/2006/relationships/hyperlink" Target="https://www.ofwat.gov.uk/regulated-companies/company-obligations/customer-experience/c-mex-and-d-mex-2019-20-results/" TargetMode="External"/><Relationship Id="rId2" Type="http://schemas.openxmlformats.org/officeDocument/2006/relationships/hyperlink" Target="https://discoverwater.co.uk/loss-of-supply" TargetMode="External"/><Relationship Id="rId1" Type="http://schemas.openxmlformats.org/officeDocument/2006/relationships/hyperlink" Target="http://www.dwi.gov.uk/about/annual-report/index.htm" TargetMode="External"/><Relationship Id="rId6" Type="http://schemas.openxmlformats.org/officeDocument/2006/relationships/hyperlink" Target="https://discoverwater.co.uk/cy/loss-of-supply" TargetMode="External"/><Relationship Id="rId5" Type="http://schemas.openxmlformats.org/officeDocument/2006/relationships/hyperlink" Target="https://naturalresources.wales/evidence-and-data/research-and-reports/water-reports/?lang=cy" TargetMode="External"/><Relationship Id="rId4" Type="http://schemas.openxmlformats.org/officeDocument/2006/relationships/hyperlink" Target="https://naturalresources.wales/evidence-and-data/research-and-reports/water-reports/?lang=en"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hyperlink" Target="http://www.dwi.gov.uk/about/annual-report/2018/company-data/wsx-stats.pdf" TargetMode="External"/><Relationship Id="rId21" Type="http://schemas.openxmlformats.org/officeDocument/2006/relationships/hyperlink" Target="http://www.dwi.gov.uk/about/annual-report/2018/company-data/swt-stats.pdf" TargetMode="External"/><Relationship Id="rId42" Type="http://schemas.openxmlformats.org/officeDocument/2006/relationships/hyperlink" Target="http://www.dwi.gov.uk/about/annual-report/2019/company-data/DWR-stats.pdf" TargetMode="External"/><Relationship Id="rId47" Type="http://schemas.openxmlformats.org/officeDocument/2006/relationships/hyperlink" Target="http://www.dwi.gov.uk/about/annual-report/2019/company-data/wsx-stats.pdf" TargetMode="External"/><Relationship Id="rId63" Type="http://schemas.openxmlformats.org/officeDocument/2006/relationships/hyperlink" Target="http://www.dwi.gov.uk/about/annual-report/2018/company-data/DWR-stats.pdf" TargetMode="External"/><Relationship Id="rId68" Type="http://schemas.openxmlformats.org/officeDocument/2006/relationships/hyperlink" Target="http://www.dwi.gov.uk/about/annual-report/2018/company-data/ESK-stats.pdf" TargetMode="External"/><Relationship Id="rId84" Type="http://schemas.openxmlformats.org/officeDocument/2006/relationships/hyperlink" Target="http://www.dwi.gov.uk/about/annual-report/2019/company-data/DWR-stats.pdf" TargetMode="External"/><Relationship Id="rId89" Type="http://schemas.openxmlformats.org/officeDocument/2006/relationships/hyperlink" Target="http://www.dwi.gov.uk/about/annual-report/2019/company-data/wsx-stats.pdf" TargetMode="External"/><Relationship Id="rId7" Type="http://schemas.openxmlformats.org/officeDocument/2006/relationships/hyperlink" Target="http://www.dwi.gov.uk/about/annual-report/2015/stats.pdf" TargetMode="External"/><Relationship Id="rId71" Type="http://schemas.openxmlformats.org/officeDocument/2006/relationships/hyperlink" Target="http://www.dwi.gov.uk/about/annual-report/2018/company-data/srn-stats.pdf" TargetMode="External"/><Relationship Id="rId92" Type="http://schemas.openxmlformats.org/officeDocument/2006/relationships/hyperlink" Target="http://www.dwi.gov.uk/about/annual-report/2019/company-data/BRL-stats.pdf" TargetMode="External"/><Relationship Id="rId2" Type="http://schemas.openxmlformats.org/officeDocument/2006/relationships/hyperlink" Target="https://www.ofwat.gov.uk/publication/appointee-regulatory-equity-2016-17/" TargetMode="External"/><Relationship Id="rId16" Type="http://schemas.openxmlformats.org/officeDocument/2006/relationships/hyperlink" Target="http://www.dwi.gov.uk/about/annual-report/2018/company-data/HDC-stats.pdf" TargetMode="External"/><Relationship Id="rId29" Type="http://schemas.openxmlformats.org/officeDocument/2006/relationships/hyperlink" Target="http://www.dwi.gov.uk/about/annual-report/2018/company-data/BRL-stats.pdf" TargetMode="External"/><Relationship Id="rId11" Type="http://schemas.openxmlformats.org/officeDocument/2006/relationships/hyperlink" Target="https://www.ofwat.gov.uk/regulated-companies/company-obligations/performance/companies-performance-2013-14/customers/" TargetMode="External"/><Relationship Id="rId24" Type="http://schemas.openxmlformats.org/officeDocument/2006/relationships/hyperlink" Target="http://www.dwi.gov.uk/about/annual-report/2018/company-data/tms-stats.pdf" TargetMode="External"/><Relationship Id="rId32" Type="http://schemas.openxmlformats.org/officeDocument/2006/relationships/hyperlink" Target="http://www.dwi.gov.uk/about/annual-report/2018/company-data/sst-stats.pdf" TargetMode="External"/><Relationship Id="rId37" Type="http://schemas.openxmlformats.org/officeDocument/2006/relationships/hyperlink" Target="https://naturalresources.wales/evidence-and-data/research-and-reports/water-reports/annual-performance-report-for-dwr-cymru-welsh-water/?lang=en" TargetMode="External"/><Relationship Id="rId40" Type="http://schemas.openxmlformats.org/officeDocument/2006/relationships/hyperlink" Target="https://naturalresources.wales/evidence-and-data/research-and-reports/water-reports/annual-performance-reports-for-hafren-dyfrdwy/?lang=cy" TargetMode="External"/><Relationship Id="rId45" Type="http://schemas.openxmlformats.org/officeDocument/2006/relationships/hyperlink" Target="http://www.dwi.gov.uk/about/annual-report/2019/company-data/tms-stats.pdf" TargetMode="External"/><Relationship Id="rId53" Type="http://schemas.openxmlformats.org/officeDocument/2006/relationships/hyperlink" Target="http://www.dwi.gov.uk/about/annual-report/2019/company-data/ses-stats.pdf" TargetMode="External"/><Relationship Id="rId58" Type="http://schemas.openxmlformats.org/officeDocument/2006/relationships/hyperlink" Target="http://www.dwi.gov.uk/about/annual-report/2019/company-data/SBW-stats.pdf" TargetMode="External"/><Relationship Id="rId66" Type="http://schemas.openxmlformats.org/officeDocument/2006/relationships/hyperlink" Target="http://www.dwi.gov.uk/about/annual-report/2018/company-data/SVT-stats.pdf" TargetMode="External"/><Relationship Id="rId74" Type="http://schemas.openxmlformats.org/officeDocument/2006/relationships/hyperlink" Target="http://www.dwi.gov.uk/about/annual-report/2018/company-data/wsx-stats.pdf" TargetMode="External"/><Relationship Id="rId79" Type="http://schemas.openxmlformats.org/officeDocument/2006/relationships/hyperlink" Target="http://www.dwi.gov.uk/about/annual-report/2018/company-data/sew-stats.pdf" TargetMode="External"/><Relationship Id="rId87" Type="http://schemas.openxmlformats.org/officeDocument/2006/relationships/hyperlink" Target="http://www.dwi.gov.uk/about/annual-report/2019/company-data/tms-stats.pdf" TargetMode="External"/><Relationship Id="rId102" Type="http://schemas.openxmlformats.org/officeDocument/2006/relationships/hyperlink" Target="http://www.dwi.gov.uk/about/annual-report/2019/company-data/CAM-stats.pdf" TargetMode="External"/><Relationship Id="rId5" Type="http://schemas.openxmlformats.org/officeDocument/2006/relationships/hyperlink" Target="https://www.gov.uk/government/publications/water-and-sewerage-companies-in-england-environmental-performance-report" TargetMode="External"/><Relationship Id="rId61" Type="http://schemas.openxmlformats.org/officeDocument/2006/relationships/hyperlink" Target="https://www.gov.uk/government/publications/water-and-sewerage-companies-in-england-environmental-performance-report-2019" TargetMode="External"/><Relationship Id="rId82" Type="http://schemas.openxmlformats.org/officeDocument/2006/relationships/hyperlink" Target="http://www.dwi.gov.uk/about/annual-report/2018/company-data/ses-stats.pdf" TargetMode="External"/><Relationship Id="rId90" Type="http://schemas.openxmlformats.org/officeDocument/2006/relationships/hyperlink" Target="http://www.dwi.gov.uk/about/annual-report/2019/company-data/yks-stats.pdf" TargetMode="External"/><Relationship Id="rId95" Type="http://schemas.openxmlformats.org/officeDocument/2006/relationships/hyperlink" Target="http://www.dwi.gov.uk/about/annual-report/2019/company-data/ses-stats.pdf" TargetMode="External"/><Relationship Id="rId19" Type="http://schemas.openxmlformats.org/officeDocument/2006/relationships/hyperlink" Target="http://www.dwi.gov.uk/about/annual-report/2018/company-data/NNE-stats.pdf" TargetMode="External"/><Relationship Id="rId14" Type="http://schemas.openxmlformats.org/officeDocument/2006/relationships/hyperlink" Target="http://www.dwi.gov.uk/about/annual-report/2018/company-data/ANH-stats.pdf" TargetMode="External"/><Relationship Id="rId22" Type="http://schemas.openxmlformats.org/officeDocument/2006/relationships/hyperlink" Target="http://www.dwi.gov.uk/about/annual-report/2018/company-data/SBW-stats.pdf" TargetMode="External"/><Relationship Id="rId27" Type="http://schemas.openxmlformats.org/officeDocument/2006/relationships/hyperlink" Target="http://www.dwi.gov.uk/about/annual-report/2018/company-data/yks-stats.pdf" TargetMode="External"/><Relationship Id="rId30" Type="http://schemas.openxmlformats.org/officeDocument/2006/relationships/hyperlink" Target="http://www.dwi.gov.uk/about/annual-report/2018/company-data/PRT-stats.pdf" TargetMode="External"/><Relationship Id="rId35" Type="http://schemas.openxmlformats.org/officeDocument/2006/relationships/hyperlink" Target="https://naturalresources.wales/evidence-and-data/research-and-reports/water-reports/annual-performance-report-for-dwr-cymru-welsh-water/?lang=en" TargetMode="External"/><Relationship Id="rId43" Type="http://schemas.openxmlformats.org/officeDocument/2006/relationships/hyperlink" Target="http://www.dwi.gov.uk/about/annual-report/2019/company-data/HDC-stats.pdf" TargetMode="External"/><Relationship Id="rId48" Type="http://schemas.openxmlformats.org/officeDocument/2006/relationships/hyperlink" Target="http://www.dwi.gov.uk/about/annual-report/2019/company-data/yks-stats.pdf" TargetMode="External"/><Relationship Id="rId56" Type="http://schemas.openxmlformats.org/officeDocument/2006/relationships/hyperlink" Target="http://www.dwi.gov.uk/about/annual-report/2019/company-data/SVT-stats.pdf" TargetMode="External"/><Relationship Id="rId64" Type="http://schemas.openxmlformats.org/officeDocument/2006/relationships/hyperlink" Target="http://www.dwi.gov.uk/about/annual-report/2018/company-data/HDC-stats.pdf" TargetMode="External"/><Relationship Id="rId69" Type="http://schemas.openxmlformats.org/officeDocument/2006/relationships/hyperlink" Target="http://www.dwi.gov.uk/about/annual-report/2018/company-data/swt-stats.pdf" TargetMode="External"/><Relationship Id="rId77" Type="http://schemas.openxmlformats.org/officeDocument/2006/relationships/hyperlink" Target="http://www.dwi.gov.uk/about/annual-report/2018/company-data/BRL-stats.pdf" TargetMode="External"/><Relationship Id="rId100" Type="http://schemas.openxmlformats.org/officeDocument/2006/relationships/hyperlink" Target="http://www.dwi.gov.uk/about/annual-report/2019/company-data/SBW-stats.pdf" TargetMode="External"/><Relationship Id="rId8" Type="http://schemas.openxmlformats.org/officeDocument/2006/relationships/hyperlink" Target="http://www.dwi.gov.uk/about/annual-report/2013/stats.pdf" TargetMode="External"/><Relationship Id="rId51" Type="http://schemas.openxmlformats.org/officeDocument/2006/relationships/hyperlink" Target="http://www.dwi.gov.uk/about/annual-report/2019/company-data/PRT-stats.pdf" TargetMode="External"/><Relationship Id="rId72" Type="http://schemas.openxmlformats.org/officeDocument/2006/relationships/hyperlink" Target="http://www.dwi.gov.uk/about/annual-report/2018/company-data/tms-stats.pdf" TargetMode="External"/><Relationship Id="rId80" Type="http://schemas.openxmlformats.org/officeDocument/2006/relationships/hyperlink" Target="http://www.dwi.gov.uk/about/annual-report/2018/company-data/sst-stats.pdf" TargetMode="External"/><Relationship Id="rId85" Type="http://schemas.openxmlformats.org/officeDocument/2006/relationships/hyperlink" Target="http://www.dwi.gov.uk/about/annual-report/2019/company-data/HDC-stats.pdf" TargetMode="External"/><Relationship Id="rId93" Type="http://schemas.openxmlformats.org/officeDocument/2006/relationships/hyperlink" Target="http://www.dwi.gov.uk/about/annual-report/2019/company-data/PRT-stats.pdf" TargetMode="External"/><Relationship Id="rId98" Type="http://schemas.openxmlformats.org/officeDocument/2006/relationships/hyperlink" Target="http://www.dwi.gov.uk/about/annual-report/2019/company-data/SVT-stats.pdf" TargetMode="External"/><Relationship Id="rId3" Type="http://schemas.openxmlformats.org/officeDocument/2006/relationships/hyperlink" Target="https://www.ofwat.gov.uk/publication/appointee-regulatory-equity-2017-18/" TargetMode="External"/><Relationship Id="rId12" Type="http://schemas.openxmlformats.org/officeDocument/2006/relationships/hyperlink" Target="https://www.ofwat.gov.uk/regulated-companies/company-obligations/performance/companies-performance-2014-15/customers/" TargetMode="External"/><Relationship Id="rId17" Type="http://schemas.openxmlformats.org/officeDocument/2006/relationships/hyperlink" Target="http://www.dwi.gov.uk/about/annual-report/2017/company-data/DVW-stats.pdf" TargetMode="External"/><Relationship Id="rId25" Type="http://schemas.openxmlformats.org/officeDocument/2006/relationships/hyperlink" Target="http://www.dwi.gov.uk/about/annual-report/2018/company-data/uut-stats.pdf" TargetMode="External"/><Relationship Id="rId33" Type="http://schemas.openxmlformats.org/officeDocument/2006/relationships/hyperlink" Target="http://www.dwi.gov.uk/about/annual-report/2018/company-data/CAM-stats.pdf" TargetMode="External"/><Relationship Id="rId38" Type="http://schemas.openxmlformats.org/officeDocument/2006/relationships/hyperlink" Target="https://naturalresources.wales/evidence-and-data/research-and-reports/water-reports/annual-performance-report-for-dwr-cymru-welsh-water/?lang=cy" TargetMode="External"/><Relationship Id="rId46" Type="http://schemas.openxmlformats.org/officeDocument/2006/relationships/hyperlink" Target="http://www.dwi.gov.uk/about/annual-report/2019/company-data/uut-stats.pdf" TargetMode="External"/><Relationship Id="rId59" Type="http://schemas.openxmlformats.org/officeDocument/2006/relationships/hyperlink" Target="http://www.dwi.gov.uk/about/annual-report/2019/company-data/sst-stats.pdf" TargetMode="External"/><Relationship Id="rId67" Type="http://schemas.openxmlformats.org/officeDocument/2006/relationships/hyperlink" Target="http://www.dwi.gov.uk/about/annual-report/2018/company-data/NNE-stats.pdf" TargetMode="External"/><Relationship Id="rId103" Type="http://schemas.openxmlformats.org/officeDocument/2006/relationships/hyperlink" Target="https://www.ofwat.gov.uk/publication/appointee-regulatory-equity-2019-20/" TargetMode="External"/><Relationship Id="rId20" Type="http://schemas.openxmlformats.org/officeDocument/2006/relationships/hyperlink" Target="http://www.dwi.gov.uk/about/annual-report/2018/company-data/ESK-stats.pdf" TargetMode="External"/><Relationship Id="rId41" Type="http://schemas.openxmlformats.org/officeDocument/2006/relationships/hyperlink" Target="http://www.dwi.gov.uk/about/annual-report/2019/company-data/ANH-stats.pdf" TargetMode="External"/><Relationship Id="rId54" Type="http://schemas.openxmlformats.org/officeDocument/2006/relationships/hyperlink" Target="http://www.dwi.gov.uk/about/annual-report/2019/company-data/NNE-stats.pdf" TargetMode="External"/><Relationship Id="rId62" Type="http://schemas.openxmlformats.org/officeDocument/2006/relationships/hyperlink" Target="http://www.dwi.gov.uk/about/annual-report/2018/company-data/ANH-stats.pdf" TargetMode="External"/><Relationship Id="rId70" Type="http://schemas.openxmlformats.org/officeDocument/2006/relationships/hyperlink" Target="http://www.dwi.gov.uk/about/annual-report/2018/company-data/SBW-stats.pdf" TargetMode="External"/><Relationship Id="rId75" Type="http://schemas.openxmlformats.org/officeDocument/2006/relationships/hyperlink" Target="http://www.dwi.gov.uk/about/annual-report/2018/company-data/yks-stats.pdf" TargetMode="External"/><Relationship Id="rId83" Type="http://schemas.openxmlformats.org/officeDocument/2006/relationships/hyperlink" Target="http://www.dwi.gov.uk/about/annual-report/2019/company-data/ANH-stats.pdf" TargetMode="External"/><Relationship Id="rId88" Type="http://schemas.openxmlformats.org/officeDocument/2006/relationships/hyperlink" Target="http://www.dwi.gov.uk/about/annual-report/2019/company-data/uut-stats.pdf" TargetMode="External"/><Relationship Id="rId91" Type="http://schemas.openxmlformats.org/officeDocument/2006/relationships/hyperlink" Target="http://www.dwi.gov.uk/about/annual-report/2019/company-data/AFW-stats.pdf" TargetMode="External"/><Relationship Id="rId96" Type="http://schemas.openxmlformats.org/officeDocument/2006/relationships/hyperlink" Target="http://www.dwi.gov.uk/about/annual-report/2019/company-data/NNE-stats.pdf" TargetMode="External"/><Relationship Id="rId1" Type="http://schemas.openxmlformats.org/officeDocument/2006/relationships/hyperlink" Target="https://www.ofwat.gov.uk/publication/appointee-regulatory-equity-2015-16/" TargetMode="External"/><Relationship Id="rId6" Type="http://schemas.openxmlformats.org/officeDocument/2006/relationships/hyperlink" Target="http://www.dwi.gov.uk/about/annual-report/2013/stats.pdf" TargetMode="External"/><Relationship Id="rId15" Type="http://schemas.openxmlformats.org/officeDocument/2006/relationships/hyperlink" Target="http://www.dwi.gov.uk/about/annual-report/2018/company-data/DWR-stats.pdf" TargetMode="External"/><Relationship Id="rId23" Type="http://schemas.openxmlformats.org/officeDocument/2006/relationships/hyperlink" Target="http://www.dwi.gov.uk/about/annual-report/2018/company-data/srn-stats.pdf" TargetMode="External"/><Relationship Id="rId28" Type="http://schemas.openxmlformats.org/officeDocument/2006/relationships/hyperlink" Target="http://www.dwi.gov.uk/about/annual-report/2018/company-data/AFW-stats.pdf" TargetMode="External"/><Relationship Id="rId36" Type="http://schemas.openxmlformats.org/officeDocument/2006/relationships/hyperlink" Target="https://naturalresources.wales/evidence-and-data/research-and-reports/water-reports/annual-performance-report-for-dwr-cymru-welsh-water/?lang=cy" TargetMode="External"/><Relationship Id="rId49" Type="http://schemas.openxmlformats.org/officeDocument/2006/relationships/hyperlink" Target="http://www.dwi.gov.uk/about/annual-report/2019/company-data/AFW-stats.pdf" TargetMode="External"/><Relationship Id="rId57" Type="http://schemas.openxmlformats.org/officeDocument/2006/relationships/hyperlink" Target="http://www.dwi.gov.uk/about/annual-report/2019/company-data/swt-stats.pdf" TargetMode="External"/><Relationship Id="rId10" Type="http://schemas.openxmlformats.org/officeDocument/2006/relationships/hyperlink" Target="https://www.ofwat.gov.uk/regulated-companies/company-obligations/performance/companies-performance-2012-13/customers-2012-13/" TargetMode="External"/><Relationship Id="rId31" Type="http://schemas.openxmlformats.org/officeDocument/2006/relationships/hyperlink" Target="http://www.dwi.gov.uk/about/annual-report/2018/company-data/sew-stats.pdf" TargetMode="External"/><Relationship Id="rId44" Type="http://schemas.openxmlformats.org/officeDocument/2006/relationships/hyperlink" Target="http://www.dwi.gov.uk/about/annual-report/2019/company-data/srn-stats.pdf" TargetMode="External"/><Relationship Id="rId52" Type="http://schemas.openxmlformats.org/officeDocument/2006/relationships/hyperlink" Target="http://www.dwi.gov.uk/about/annual-report/2019/company-data/sew-stats.pdf" TargetMode="External"/><Relationship Id="rId60" Type="http://schemas.openxmlformats.org/officeDocument/2006/relationships/hyperlink" Target="http://www.dwi.gov.uk/about/annual-report/2019/company-data/CAM-stats.pdf" TargetMode="External"/><Relationship Id="rId65" Type="http://schemas.openxmlformats.org/officeDocument/2006/relationships/hyperlink" Target="http://www.dwi.gov.uk/about/annual-report/2017/company-data/DVW-stats.pdf" TargetMode="External"/><Relationship Id="rId73" Type="http://schemas.openxmlformats.org/officeDocument/2006/relationships/hyperlink" Target="http://www.dwi.gov.uk/about/annual-report/2018/company-data/uut-stats.pdf" TargetMode="External"/><Relationship Id="rId78" Type="http://schemas.openxmlformats.org/officeDocument/2006/relationships/hyperlink" Target="http://www.dwi.gov.uk/about/annual-report/2018/company-data/PRT-stats.pdf" TargetMode="External"/><Relationship Id="rId81" Type="http://schemas.openxmlformats.org/officeDocument/2006/relationships/hyperlink" Target="http://www.dwi.gov.uk/about/annual-report/2018/company-data/CAM-stats.pdf" TargetMode="External"/><Relationship Id="rId86" Type="http://schemas.openxmlformats.org/officeDocument/2006/relationships/hyperlink" Target="http://www.dwi.gov.uk/about/annual-report/2019/company-data/srn-stats.pdf" TargetMode="External"/><Relationship Id="rId94" Type="http://schemas.openxmlformats.org/officeDocument/2006/relationships/hyperlink" Target="http://www.dwi.gov.uk/about/annual-report/2019/company-data/sew-stats.pdf" TargetMode="External"/><Relationship Id="rId99" Type="http://schemas.openxmlformats.org/officeDocument/2006/relationships/hyperlink" Target="http://www.dwi.gov.uk/about/annual-report/2019/company-data/swt-stats.pdf" TargetMode="External"/><Relationship Id="rId101" Type="http://schemas.openxmlformats.org/officeDocument/2006/relationships/hyperlink" Target="http://www.dwi.gov.uk/about/annual-report/2019/company-data/sst-stats.pdf" TargetMode="External"/><Relationship Id="rId4" Type="http://schemas.openxmlformats.org/officeDocument/2006/relationships/hyperlink" Target="https://www.ofwat.gov.uk/publication/appointee-regulatory-equity-2018-19/" TargetMode="External"/><Relationship Id="rId9" Type="http://schemas.openxmlformats.org/officeDocument/2006/relationships/hyperlink" Target="http://www.dwi.gov.uk/about/annual-report/2015/stats.pdf" TargetMode="External"/><Relationship Id="rId13" Type="http://schemas.openxmlformats.org/officeDocument/2006/relationships/hyperlink" Target="https://www.unitedutilities.com/corporate/about-us/performance/performance-201015/" TargetMode="External"/><Relationship Id="rId18" Type="http://schemas.openxmlformats.org/officeDocument/2006/relationships/hyperlink" Target="http://www.dwi.gov.uk/about/annual-report/2018/company-data/SVT-stats.pdf" TargetMode="External"/><Relationship Id="rId39" Type="http://schemas.openxmlformats.org/officeDocument/2006/relationships/hyperlink" Target="https://naturalresources.wales/evidence-and-data/research-and-reports/water-reports/annual-performance-reports-for-hafren-dyfrdwy/?lang=en" TargetMode="External"/><Relationship Id="rId34" Type="http://schemas.openxmlformats.org/officeDocument/2006/relationships/hyperlink" Target="http://www.dwi.gov.uk/about/annual-report/2018/company-data/ses-stats.pdf" TargetMode="External"/><Relationship Id="rId50" Type="http://schemas.openxmlformats.org/officeDocument/2006/relationships/hyperlink" Target="http://www.dwi.gov.uk/about/annual-report/2019/company-data/BRL-stats.pdf" TargetMode="External"/><Relationship Id="rId55" Type="http://schemas.openxmlformats.org/officeDocument/2006/relationships/hyperlink" Target="http://www.dwi.gov.uk/about/annual-report/2019/company-data/ESK-stats.pdf" TargetMode="External"/><Relationship Id="rId76" Type="http://schemas.openxmlformats.org/officeDocument/2006/relationships/hyperlink" Target="http://www.dwi.gov.uk/about/annual-report/2018/company-data/AFW-stats.pdf" TargetMode="External"/><Relationship Id="rId97" Type="http://schemas.openxmlformats.org/officeDocument/2006/relationships/hyperlink" Target="http://www.dwi.gov.uk/about/annual-report/2019/company-data/ESK-stats.pdf" TargetMode="External"/><Relationship Id="rId10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B1:M35"/>
  <sheetViews>
    <sheetView showGridLines="0" tabSelected="1" workbookViewId="0"/>
  </sheetViews>
  <sheetFormatPr defaultColWidth="9" defaultRowHeight="12.5" x14ac:dyDescent="0.3"/>
  <cols>
    <col min="1" max="1" width="1.58203125" style="79" customWidth="1"/>
    <col min="2" max="2" width="2.58203125" style="79" customWidth="1"/>
    <col min="3" max="3" width="19.83203125" style="79" bestFit="1" customWidth="1"/>
    <col min="4" max="5" width="13.83203125" style="79" customWidth="1"/>
    <col min="6" max="6" width="6.75" style="79" bestFit="1" customWidth="1"/>
    <col min="7" max="7" width="16.75" style="79" customWidth="1"/>
    <col min="8" max="8" width="11.75" style="79" customWidth="1"/>
    <col min="9" max="9" width="6.75" style="79" bestFit="1" customWidth="1"/>
    <col min="10" max="10" width="10.75" style="79" customWidth="1"/>
    <col min="11" max="11" width="6.25" style="79" customWidth="1"/>
    <col min="12" max="12" width="9" style="79"/>
    <col min="13" max="13" width="2.58203125" style="79" customWidth="1"/>
    <col min="14" max="14" width="1.58203125" style="79" customWidth="1"/>
    <col min="15" max="16384" width="9" style="79"/>
  </cols>
  <sheetData>
    <row r="1" spans="2:13" ht="9.75" customHeight="1" x14ac:dyDescent="0.3">
      <c r="B1" s="283"/>
      <c r="C1" s="283"/>
      <c r="D1" s="283"/>
      <c r="E1" s="283"/>
      <c r="F1" s="283"/>
      <c r="G1" s="283"/>
      <c r="H1" s="283"/>
      <c r="I1" s="283"/>
      <c r="J1" s="283"/>
      <c r="K1" s="283"/>
      <c r="L1" s="283"/>
      <c r="M1" s="283"/>
    </row>
    <row r="2" spans="2:13" ht="35.25" customHeight="1" thickBot="1" x14ac:dyDescent="0.35">
      <c r="B2" s="208"/>
      <c r="C2" s="209" t="s">
        <v>0</v>
      </c>
      <c r="D2" s="208"/>
      <c r="E2" s="208"/>
      <c r="F2" s="208"/>
      <c r="G2" s="208"/>
      <c r="H2" s="208"/>
      <c r="I2" s="208"/>
      <c r="J2" s="208"/>
      <c r="K2" s="208"/>
      <c r="L2" s="208"/>
      <c r="M2" s="208"/>
    </row>
    <row r="3" spans="2:13" ht="14" thickTop="1" x14ac:dyDescent="0.3">
      <c r="B3" s="210"/>
      <c r="C3" s="210"/>
      <c r="D3" s="210"/>
      <c r="E3" s="210"/>
      <c r="F3" s="210"/>
      <c r="G3" s="210"/>
      <c r="H3" s="210"/>
      <c r="I3" s="210"/>
      <c r="J3" s="210"/>
      <c r="K3" s="210"/>
      <c r="L3" s="210"/>
      <c r="M3" s="210"/>
    </row>
    <row r="4" spans="2:13" ht="16" x14ac:dyDescent="0.3">
      <c r="B4" s="210"/>
      <c r="C4" s="211" t="s">
        <v>1</v>
      </c>
      <c r="D4" s="211" t="s">
        <v>2</v>
      </c>
      <c r="E4" s="210"/>
      <c r="F4" s="210"/>
      <c r="G4" s="210"/>
      <c r="H4" s="195"/>
      <c r="I4" s="195"/>
      <c r="J4" s="195"/>
      <c r="K4" s="195"/>
      <c r="L4" s="195"/>
      <c r="M4" s="210"/>
    </row>
    <row r="5" spans="2:13" ht="16" x14ac:dyDescent="0.3">
      <c r="B5" s="210"/>
      <c r="C5" s="211" t="s">
        <v>3</v>
      </c>
      <c r="D5" s="212">
        <f>MAX($D$19:$D$25)</f>
        <v>2</v>
      </c>
      <c r="E5" s="210"/>
      <c r="F5" s="210"/>
      <c r="G5" s="210"/>
      <c r="H5" s="195"/>
      <c r="I5" s="195"/>
      <c r="J5" s="195"/>
      <c r="K5" s="195"/>
      <c r="L5" s="195"/>
      <c r="M5" s="210"/>
    </row>
    <row r="6" spans="2:13" ht="16" x14ac:dyDescent="0.3">
      <c r="B6" s="210"/>
      <c r="C6" s="211" t="s">
        <v>4</v>
      </c>
      <c r="D6" s="211" t="str">
        <f ca="1" xml:space="preserve"> MID( CELL( "filename", $A$1 ), FIND( "[", CELL( "filename", $A$1 ) ) + 1, FIND( "]", CELL( "filename", $A$1 ) ) - FIND( "[", CELL( "filename", $A$1 ) ) - 1 )</f>
        <v>SDR Analysis Model v2 - For publication.xlsx</v>
      </c>
      <c r="E6" s="210"/>
      <c r="F6" s="210"/>
      <c r="G6" s="210"/>
      <c r="H6" s="195"/>
      <c r="I6" s="195"/>
      <c r="J6" s="195"/>
      <c r="K6" s="195"/>
      <c r="L6" s="195"/>
      <c r="M6" s="210"/>
    </row>
    <row r="7" spans="2:13" ht="16" x14ac:dyDescent="0.3">
      <c r="B7" s="210"/>
      <c r="C7" s="211" t="s">
        <v>5</v>
      </c>
      <c r="D7" s="213">
        <f>MAX($E$19:$E$25)</f>
        <v>44165</v>
      </c>
      <c r="E7" s="210"/>
      <c r="F7" s="210"/>
      <c r="G7" s="210"/>
      <c r="H7" s="195"/>
      <c r="I7" s="195"/>
      <c r="J7" s="195"/>
      <c r="K7" s="195"/>
      <c r="L7" s="195"/>
      <c r="M7" s="210"/>
    </row>
    <row r="8" spans="2:13" ht="16" x14ac:dyDescent="0.3">
      <c r="B8" s="210"/>
      <c r="C8" s="211" t="s">
        <v>6</v>
      </c>
      <c r="D8" s="211" t="s">
        <v>7</v>
      </c>
      <c r="E8" s="210"/>
      <c r="F8" s="210"/>
      <c r="G8" s="210"/>
      <c r="H8" s="195"/>
      <c r="I8" s="195"/>
      <c r="J8" s="195"/>
      <c r="K8" s="195"/>
      <c r="L8" s="195"/>
      <c r="M8" s="210"/>
    </row>
    <row r="9" spans="2:13" ht="16" x14ac:dyDescent="0.3">
      <c r="B9" s="210"/>
      <c r="C9" s="211"/>
      <c r="D9" s="216"/>
      <c r="E9" s="210"/>
      <c r="F9" s="210"/>
      <c r="G9" s="210"/>
      <c r="H9" s="195"/>
      <c r="I9" s="195"/>
      <c r="J9" s="195"/>
      <c r="K9" s="195"/>
      <c r="L9" s="195"/>
      <c r="M9" s="210"/>
    </row>
    <row r="10" spans="2:13" ht="13.5" x14ac:dyDescent="0.3">
      <c r="B10" s="210"/>
      <c r="C10" s="210"/>
      <c r="D10" s="210"/>
      <c r="E10" s="210"/>
      <c r="F10" s="210"/>
      <c r="G10" s="210"/>
      <c r="H10" s="195"/>
      <c r="I10" s="195"/>
      <c r="J10" s="195"/>
      <c r="K10" s="195"/>
      <c r="L10" s="195"/>
      <c r="M10" s="210"/>
    </row>
    <row r="11" spans="2:13" ht="13.5" x14ac:dyDescent="0.3">
      <c r="B11" s="210"/>
      <c r="C11" s="210"/>
      <c r="D11" s="210"/>
      <c r="E11" s="210"/>
      <c r="F11" s="210"/>
      <c r="G11" s="210"/>
      <c r="H11" s="210"/>
      <c r="I11" s="210"/>
      <c r="J11" s="210"/>
      <c r="K11" s="210"/>
      <c r="L11" s="210"/>
      <c r="M11" s="210"/>
    </row>
    <row r="13" spans="2:13" ht="16.5" customHeight="1" x14ac:dyDescent="0.3">
      <c r="B13" s="283"/>
      <c r="C13" s="196" t="s">
        <v>8</v>
      </c>
      <c r="D13" s="365" t="s">
        <v>792</v>
      </c>
      <c r="E13" s="366"/>
      <c r="F13" s="366"/>
      <c r="G13" s="366"/>
      <c r="H13" s="366"/>
      <c r="I13" s="366"/>
      <c r="J13" s="366"/>
      <c r="K13" s="366"/>
      <c r="L13" s="366"/>
      <c r="M13" s="283"/>
    </row>
    <row r="14" spans="2:13" ht="16.5" customHeight="1" x14ac:dyDescent="0.3">
      <c r="B14" s="283"/>
      <c r="C14" s="283"/>
      <c r="D14" s="366"/>
      <c r="E14" s="366"/>
      <c r="F14" s="366"/>
      <c r="G14" s="366"/>
      <c r="H14" s="366"/>
      <c r="I14" s="366"/>
      <c r="J14" s="366"/>
      <c r="K14" s="366"/>
      <c r="L14" s="366"/>
      <c r="M14" s="283"/>
    </row>
    <row r="15" spans="2:13" ht="16.5" customHeight="1" x14ac:dyDescent="0.3">
      <c r="B15" s="283"/>
      <c r="C15" s="283"/>
      <c r="D15" s="366"/>
      <c r="E15" s="366"/>
      <c r="F15" s="366"/>
      <c r="G15" s="366"/>
      <c r="H15" s="366"/>
      <c r="I15" s="366"/>
      <c r="J15" s="366"/>
      <c r="K15" s="366"/>
      <c r="L15" s="366"/>
      <c r="M15" s="283"/>
    </row>
    <row r="16" spans="2:13" ht="16.5" customHeight="1" x14ac:dyDescent="0.3">
      <c r="B16" s="283"/>
      <c r="C16" s="283"/>
      <c r="D16" s="366"/>
      <c r="E16" s="366"/>
      <c r="F16" s="366"/>
      <c r="G16" s="366"/>
      <c r="H16" s="366"/>
      <c r="I16" s="366"/>
      <c r="J16" s="366"/>
      <c r="K16" s="366"/>
      <c r="L16" s="366"/>
      <c r="M16" s="283"/>
    </row>
    <row r="17" spans="3:12" ht="16.5" customHeight="1" x14ac:dyDescent="0.3">
      <c r="C17" s="283"/>
      <c r="D17" s="366"/>
      <c r="E17" s="366"/>
      <c r="F17" s="366"/>
      <c r="G17" s="366"/>
      <c r="H17" s="366"/>
      <c r="I17" s="366"/>
      <c r="J17" s="366"/>
      <c r="K17" s="366"/>
      <c r="L17" s="366"/>
    </row>
    <row r="19" spans="3:12" ht="16" x14ac:dyDescent="0.3">
      <c r="C19" s="196" t="s">
        <v>9</v>
      </c>
      <c r="D19" s="271" t="s">
        <v>10</v>
      </c>
      <c r="E19" s="271" t="s">
        <v>11</v>
      </c>
      <c r="F19" s="367" t="s">
        <v>12</v>
      </c>
      <c r="G19" s="367"/>
      <c r="H19" s="367"/>
      <c r="I19" s="367"/>
      <c r="J19" s="367"/>
      <c r="K19" s="367"/>
      <c r="L19" s="367"/>
    </row>
    <row r="20" spans="3:12" ht="16.149999999999999" customHeight="1" x14ac:dyDescent="0.3">
      <c r="C20" s="283"/>
      <c r="D20" s="192">
        <v>1</v>
      </c>
      <c r="E20" s="193">
        <v>43762</v>
      </c>
      <c r="F20" s="364" t="s">
        <v>13</v>
      </c>
      <c r="G20" s="364"/>
      <c r="H20" s="364"/>
      <c r="I20" s="364"/>
      <c r="J20" s="364"/>
      <c r="K20" s="364"/>
      <c r="L20" s="364"/>
    </row>
    <row r="21" spans="3:12" ht="16.149999999999999" customHeight="1" x14ac:dyDescent="0.3">
      <c r="C21" s="283"/>
      <c r="D21" s="192">
        <v>2</v>
      </c>
      <c r="E21" s="193">
        <v>44165</v>
      </c>
      <c r="F21" s="364" t="s">
        <v>790</v>
      </c>
      <c r="G21" s="364"/>
      <c r="H21" s="364"/>
      <c r="I21" s="364"/>
      <c r="J21" s="364"/>
      <c r="K21" s="364"/>
      <c r="L21" s="364"/>
    </row>
    <row r="22" spans="3:12" ht="16.149999999999999" customHeight="1" x14ac:dyDescent="0.3">
      <c r="C22" s="283"/>
      <c r="D22" s="192"/>
      <c r="E22" s="193"/>
      <c r="F22" s="364"/>
      <c r="G22" s="364"/>
      <c r="H22" s="364"/>
      <c r="I22" s="364"/>
      <c r="J22" s="364"/>
      <c r="K22" s="364"/>
      <c r="L22" s="364"/>
    </row>
    <row r="23" spans="3:12" ht="16.149999999999999" customHeight="1" x14ac:dyDescent="0.3">
      <c r="C23" s="283"/>
      <c r="D23" s="192"/>
      <c r="E23" s="193"/>
      <c r="F23" s="364"/>
      <c r="G23" s="364"/>
      <c r="H23" s="364"/>
      <c r="I23" s="364"/>
      <c r="J23" s="364"/>
      <c r="K23" s="364"/>
      <c r="L23" s="364"/>
    </row>
    <row r="24" spans="3:12" ht="16.149999999999999" customHeight="1" x14ac:dyDescent="0.3">
      <c r="C24" s="283"/>
      <c r="D24" s="192"/>
      <c r="E24" s="193"/>
      <c r="F24" s="364"/>
      <c r="G24" s="364"/>
      <c r="H24" s="364"/>
      <c r="I24" s="364"/>
      <c r="J24" s="364"/>
      <c r="K24" s="364"/>
      <c r="L24" s="364"/>
    </row>
    <row r="26" spans="3:12" ht="16.5" customHeight="1" x14ac:dyDescent="0.3">
      <c r="C26" s="196" t="s">
        <v>14</v>
      </c>
      <c r="D26" s="204" t="s">
        <v>15</v>
      </c>
      <c r="E26" s="198"/>
      <c r="F26" s="198"/>
      <c r="G26" s="198"/>
      <c r="H26" s="198"/>
      <c r="I26" s="198"/>
      <c r="J26" s="198"/>
      <c r="K26" s="198"/>
      <c r="L26" s="199"/>
    </row>
    <row r="27" spans="3:12" ht="16.5" customHeight="1" x14ac:dyDescent="0.3">
      <c r="C27" s="283"/>
      <c r="D27" s="205" t="s">
        <v>16</v>
      </c>
      <c r="E27" s="194"/>
      <c r="F27" s="194"/>
      <c r="G27" s="194"/>
      <c r="H27" s="194"/>
      <c r="I27" s="194"/>
      <c r="J27" s="194"/>
      <c r="K27" s="194"/>
      <c r="L27" s="173"/>
    </row>
    <row r="28" spans="3:12" ht="16.5" customHeight="1" x14ac:dyDescent="0.3">
      <c r="C28" s="283"/>
      <c r="D28" s="205" t="s">
        <v>17</v>
      </c>
      <c r="E28" s="194"/>
      <c r="F28" s="194"/>
      <c r="G28" s="194"/>
      <c r="H28" s="194"/>
      <c r="I28" s="194"/>
      <c r="J28" s="194"/>
      <c r="K28" s="194"/>
      <c r="L28" s="173"/>
    </row>
    <row r="29" spans="3:12" s="351" customFormat="1" ht="16.5" customHeight="1" x14ac:dyDescent="0.3">
      <c r="D29" s="205" t="s">
        <v>794</v>
      </c>
      <c r="E29" s="194"/>
      <c r="F29" s="200" t="s">
        <v>22</v>
      </c>
      <c r="G29" s="194"/>
      <c r="H29" s="194"/>
      <c r="I29" s="194"/>
      <c r="J29" s="194"/>
      <c r="K29" s="194"/>
      <c r="L29" s="173"/>
    </row>
    <row r="30" spans="3:12" ht="16.5" customHeight="1" x14ac:dyDescent="0.3">
      <c r="C30" s="283"/>
      <c r="D30" s="205" t="s">
        <v>18</v>
      </c>
      <c r="E30" s="194"/>
      <c r="F30" s="200" t="s">
        <v>19</v>
      </c>
      <c r="G30" s="200" t="s">
        <v>20</v>
      </c>
      <c r="H30" s="194"/>
      <c r="I30" s="194"/>
      <c r="J30" s="194"/>
      <c r="K30" s="194"/>
      <c r="L30" s="173"/>
    </row>
    <row r="31" spans="3:12" ht="16.5" customHeight="1" x14ac:dyDescent="0.3">
      <c r="C31" s="283"/>
      <c r="D31" s="205" t="s">
        <v>21</v>
      </c>
      <c r="E31" s="194"/>
      <c r="F31" s="194"/>
      <c r="G31" s="194"/>
      <c r="H31" s="194"/>
      <c r="I31" s="194"/>
      <c r="J31" s="194"/>
      <c r="K31" s="200" t="s">
        <v>22</v>
      </c>
      <c r="L31" s="173"/>
    </row>
    <row r="32" spans="3:12" ht="16.5" customHeight="1" x14ac:dyDescent="0.3">
      <c r="C32" s="283"/>
      <c r="D32" s="205" t="s">
        <v>23</v>
      </c>
      <c r="E32" s="194"/>
      <c r="F32" s="194"/>
      <c r="G32" s="194"/>
      <c r="H32" s="200" t="s">
        <v>22</v>
      </c>
      <c r="I32" s="194"/>
      <c r="J32" s="194"/>
      <c r="K32" s="200"/>
      <c r="L32" s="173"/>
    </row>
    <row r="33" spans="2:13" ht="16.5" customHeight="1" x14ac:dyDescent="0.3">
      <c r="C33" s="283"/>
      <c r="D33" s="206" t="s">
        <v>24</v>
      </c>
      <c r="E33" s="201"/>
      <c r="F33" s="201"/>
      <c r="G33" s="201"/>
      <c r="H33" s="202"/>
      <c r="I33" s="202" t="s">
        <v>19</v>
      </c>
      <c r="J33" s="202" t="s">
        <v>20</v>
      </c>
      <c r="K33" s="201"/>
      <c r="L33" s="203"/>
    </row>
    <row r="34" spans="2:13" ht="9.75" customHeight="1" x14ac:dyDescent="0.3">
      <c r="B34" s="283"/>
      <c r="C34" s="283"/>
      <c r="D34" s="283"/>
      <c r="E34" s="283"/>
      <c r="F34" s="283"/>
      <c r="G34" s="283"/>
      <c r="H34" s="283"/>
      <c r="I34" s="283"/>
      <c r="J34" s="283"/>
      <c r="K34" s="283"/>
      <c r="L34" s="283"/>
      <c r="M34" s="283"/>
    </row>
    <row r="35" spans="2:13" ht="13" x14ac:dyDescent="0.3">
      <c r="B35" s="197" t="s">
        <v>25</v>
      </c>
      <c r="C35" s="197"/>
      <c r="D35" s="197"/>
      <c r="E35" s="197"/>
      <c r="F35" s="197"/>
      <c r="G35" s="197"/>
      <c r="H35" s="197"/>
      <c r="I35" s="197"/>
      <c r="J35" s="197"/>
      <c r="K35" s="197"/>
      <c r="L35" s="197"/>
      <c r="M35" s="197"/>
    </row>
  </sheetData>
  <mergeCells count="7">
    <mergeCell ref="F24:L24"/>
    <mergeCell ref="D13:L17"/>
    <mergeCell ref="F19:L19"/>
    <mergeCell ref="F20:L20"/>
    <mergeCell ref="F21:L21"/>
    <mergeCell ref="F22:L22"/>
    <mergeCell ref="F23:L23"/>
  </mergeCells>
  <hyperlinks>
    <hyperlink ref="K31" r:id="rId1"/>
    <hyperlink ref="F30" r:id="rId2" display="Link"/>
    <hyperlink ref="H32" r:id="rId3"/>
    <hyperlink ref="I33" r:id="rId4"/>
    <hyperlink ref="J33" r:id="rId5"/>
    <hyperlink ref="G30" r:id="rId6"/>
    <hyperlink ref="F29" r:id="rId7"/>
  </hyperlinks>
  <pageMargins left="0.7" right="0.7" top="0.75" bottom="0.75" header="0.3" footer="0.3"/>
  <pageSetup paperSize="9" scale="65" fitToHeight="0"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heetPr>
  <dimension ref="B2:S462"/>
  <sheetViews>
    <sheetView showGridLines="0" workbookViewId="0">
      <pane ySplit="3" topLeftCell="A4" activePane="bottomLeft" state="frozen"/>
      <selection pane="bottomLeft" activeCell="A4" sqref="A4"/>
    </sheetView>
  </sheetViews>
  <sheetFormatPr defaultColWidth="9" defaultRowHeight="13" outlineLevelRow="1" x14ac:dyDescent="0.3"/>
  <cols>
    <col min="1" max="2" width="2.58203125" style="8" customWidth="1"/>
    <col min="3" max="3" width="23.33203125" style="8" bestFit="1" customWidth="1"/>
    <col min="4" max="4" width="9" style="11" customWidth="1"/>
    <col min="5" max="12" width="7.58203125" style="8" customWidth="1"/>
    <col min="13" max="13" width="2.58203125" style="8" customWidth="1"/>
    <col min="14" max="14" width="11.25" style="8" customWidth="1"/>
    <col min="15" max="15" width="11.25" style="47" customWidth="1"/>
    <col min="16" max="16" width="2.58203125" style="8" customWidth="1"/>
    <col min="17" max="17" width="11.25" style="8" bestFit="1" customWidth="1"/>
    <col min="18" max="18" width="7.58203125" style="47" customWidth="1"/>
    <col min="19" max="19" width="2.58203125" style="8" customWidth="1"/>
    <col min="20" max="16384" width="9" style="8"/>
  </cols>
  <sheetData>
    <row r="2" spans="2:19" s="1" customFormat="1" x14ac:dyDescent="0.3">
      <c r="B2" s="2"/>
      <c r="C2" s="2" t="s">
        <v>384</v>
      </c>
      <c r="D2" s="3" t="s">
        <v>385</v>
      </c>
      <c r="E2" s="4" t="s">
        <v>172</v>
      </c>
      <c r="F2" s="4" t="s">
        <v>173</v>
      </c>
      <c r="G2" s="4" t="s">
        <v>174</v>
      </c>
      <c r="H2" s="4" t="s">
        <v>175</v>
      </c>
      <c r="I2" s="4" t="s">
        <v>176</v>
      </c>
      <c r="J2" s="4" t="s">
        <v>177</v>
      </c>
      <c r="K2" s="4" t="s">
        <v>178</v>
      </c>
      <c r="L2" s="4" t="s">
        <v>151</v>
      </c>
      <c r="N2" s="406" t="s">
        <v>573</v>
      </c>
      <c r="O2" s="406"/>
      <c r="Q2" s="406"/>
      <c r="R2" s="406"/>
    </row>
    <row r="3" spans="2:19" s="6" customFormat="1" x14ac:dyDescent="0.3">
      <c r="B3" s="7"/>
      <c r="C3" s="6" t="s">
        <v>386</v>
      </c>
      <c r="E3" s="251">
        <v>3</v>
      </c>
      <c r="F3" s="251">
        <v>4</v>
      </c>
      <c r="G3" s="251">
        <v>5</v>
      </c>
      <c r="H3" s="251">
        <v>6</v>
      </c>
      <c r="I3" s="251">
        <v>7</v>
      </c>
      <c r="J3" s="251">
        <v>8</v>
      </c>
      <c r="K3" s="251">
        <v>9</v>
      </c>
      <c r="L3" s="251">
        <v>10</v>
      </c>
      <c r="N3" s="251">
        <v>12</v>
      </c>
      <c r="O3" s="252">
        <v>13</v>
      </c>
      <c r="Q3" s="251">
        <v>15</v>
      </c>
      <c r="R3" s="252">
        <v>16</v>
      </c>
    </row>
    <row r="5" spans="2:19" ht="13.5" x14ac:dyDescent="0.35">
      <c r="B5" s="9" t="s">
        <v>162</v>
      </c>
      <c r="C5" s="9"/>
      <c r="D5" s="10"/>
      <c r="E5" s="9"/>
      <c r="F5" s="9"/>
      <c r="G5" s="9"/>
      <c r="H5" s="9"/>
      <c r="I5" s="9"/>
      <c r="J5" s="9"/>
      <c r="K5" s="9"/>
      <c r="L5" s="9"/>
      <c r="M5" s="9"/>
      <c r="N5" s="9"/>
      <c r="O5" s="56"/>
      <c r="P5" s="9"/>
      <c r="Q5" s="9"/>
      <c r="R5" s="56"/>
      <c r="S5" s="9"/>
    </row>
    <row r="6" spans="2:19" outlineLevel="1" x14ac:dyDescent="0.3"/>
    <row r="7" spans="2:19" ht="13.5" outlineLevel="1" x14ac:dyDescent="0.35">
      <c r="B7" s="31" t="s">
        <v>421</v>
      </c>
      <c r="C7" s="31"/>
      <c r="D7" s="28"/>
      <c r="E7" s="28"/>
      <c r="F7" s="28"/>
      <c r="G7" s="28"/>
      <c r="H7" s="28"/>
      <c r="I7" s="28"/>
      <c r="J7" s="28"/>
      <c r="K7" s="28"/>
      <c r="L7" s="28"/>
      <c r="M7" s="28"/>
      <c r="N7" s="28"/>
      <c r="O7" s="57"/>
      <c r="P7" s="28"/>
      <c r="Q7" s="28"/>
      <c r="R7" s="57"/>
      <c r="S7" s="28"/>
    </row>
    <row r="8" spans="2:19" outlineLevel="1" x14ac:dyDescent="0.3"/>
    <row r="9" spans="2:19" s="49" customFormat="1" ht="37.5" outlineLevel="1" x14ac:dyDescent="0.3">
      <c r="D9" s="50"/>
      <c r="N9" s="51" t="s">
        <v>574</v>
      </c>
      <c r="O9" s="142" t="s">
        <v>576</v>
      </c>
      <c r="Q9" s="51" t="str">
        <f xml:space="preserve"> "Net change (from " &amp; Last_year &amp; ")"</f>
        <v>Net change (from 2018-19)</v>
      </c>
      <c r="R9" s="142" t="s">
        <v>576</v>
      </c>
    </row>
    <row r="10" spans="2:19" outlineLevel="1" x14ac:dyDescent="0.3">
      <c r="C10" s="8" t="s">
        <v>80</v>
      </c>
      <c r="D10" s="11" t="s">
        <v>135</v>
      </c>
      <c r="E10" s="233">
        <f xml:space="preserve"> INPUTS│Outcomes!E9</f>
        <v>189.14430877213201</v>
      </c>
      <c r="F10" s="233">
        <f xml:space="preserve"> INPUTS│Outcomes!F9</f>
        <v>192.720797385862</v>
      </c>
      <c r="G10" s="233">
        <f xml:space="preserve"> INPUTS│Outcomes!G9</f>
        <v>191.99886023438</v>
      </c>
      <c r="H10" s="233">
        <f xml:space="preserve"> INPUTS│Outcomes!H9</f>
        <v>182.64590090873199</v>
      </c>
      <c r="I10" s="233">
        <f xml:space="preserve"> INPUTS│Outcomes!I9</f>
        <v>184.716123345873</v>
      </c>
      <c r="J10" s="233">
        <f xml:space="preserve"> INPUTS│Outcomes!J9</f>
        <v>182.66</v>
      </c>
      <c r="K10" s="233">
        <f xml:space="preserve"> INPUTS│Outcomes!K9</f>
        <v>191.24007283985699</v>
      </c>
      <c r="L10" s="233">
        <f xml:space="preserve"> INPUTS│Outcomes!L9</f>
        <v>182.39</v>
      </c>
      <c r="N10" s="14">
        <f t="shared" ref="N10:N25" si="0" xml:space="preserve"> INDEX( E10:L10, 1, MATCH( Year, $E$2:$L$2, 0 ) ) - E10</f>
        <v>-6.7543087721320205</v>
      </c>
      <c r="O10" s="235">
        <f xml:space="preserve"> IF( $E10 = 0, "-", N10 / $E10 )</f>
        <v>-3.5709817630670271E-2</v>
      </c>
      <c r="Q10" s="14">
        <f t="shared" ref="Q10:Q26" si="1" xml:space="preserve"> INDEX( E10:L10, 1, MATCH( Year, $E$2:$L$2, 0 ) ) - INDEX( E10:L10, 1, MATCH( Last_year, $E$2:$L$2, 0 ) )</f>
        <v>-8.8500728398570061</v>
      </c>
      <c r="R10" s="235">
        <f t="shared" ref="R10:R26" si="2" xml:space="preserve"> IF( INDEX( $E10:$L10, 1, MATCH( Last_year, $E$2:$L$2, 0 ) ) = 0, "-", Q10 / INDEX( $E10:$L10, 1, MATCH( Last_year, $E$2:$L$2, 0 ) ) )</f>
        <v>-4.6277292768383285E-2</v>
      </c>
    </row>
    <row r="11" spans="2:19" outlineLevel="1" x14ac:dyDescent="0.3">
      <c r="C11" s="8" t="s">
        <v>82</v>
      </c>
      <c r="D11" s="11" t="s">
        <v>135</v>
      </c>
      <c r="E11" s="233">
        <f xml:space="preserve"> INPUTS│Outcomes!E10</f>
        <v>184.8</v>
      </c>
      <c r="F11" s="233">
        <f xml:space="preserve"> INPUTS│Outcomes!F10</f>
        <v>183.75</v>
      </c>
      <c r="G11" s="233">
        <f xml:space="preserve"> INPUTS│Outcomes!G10</f>
        <v>179.52</v>
      </c>
      <c r="H11" s="233">
        <f xml:space="preserve"> INPUTS│Outcomes!H10</f>
        <v>179.86</v>
      </c>
      <c r="I11" s="233">
        <f xml:space="preserve"> INPUTS│Outcomes!I10</f>
        <v>175.43</v>
      </c>
      <c r="J11" s="233">
        <f xml:space="preserve"> INPUTS│Outcomes!J10</f>
        <v>172.84899999999999</v>
      </c>
      <c r="K11" s="233">
        <f xml:space="preserve"> INPUTS│Outcomes!K10</f>
        <v>169.54</v>
      </c>
      <c r="L11" s="233">
        <f xml:space="preserve"> INPUTS│Outcomes!L10</f>
        <v>167.95</v>
      </c>
      <c r="N11" s="14">
        <f t="shared" si="0"/>
        <v>-16.850000000000023</v>
      </c>
      <c r="O11" s="235">
        <f t="shared" ref="O11:O28" si="3" xml:space="preserve"> IF( $E11 = 0, "-", N11 / $E11 )</f>
        <v>-9.1179653679653791E-2</v>
      </c>
      <c r="Q11" s="14">
        <f t="shared" si="1"/>
        <v>-1.5900000000000034</v>
      </c>
      <c r="R11" s="235">
        <f t="shared" si="2"/>
        <v>-9.3783178011089038E-3</v>
      </c>
    </row>
    <row r="12" spans="2:19" outlineLevel="1" x14ac:dyDescent="0.3">
      <c r="C12" s="8" t="s">
        <v>85</v>
      </c>
      <c r="D12" s="11" t="s">
        <v>135</v>
      </c>
      <c r="E12" s="233">
        <f xml:space="preserve"> INPUTS│Outcomes!E11</f>
        <v>14.132034121401718</v>
      </c>
      <c r="F12" s="233">
        <f xml:space="preserve"> INPUTS│Outcomes!F11</f>
        <v>14.163946763937787</v>
      </c>
      <c r="G12" s="233">
        <f xml:space="preserve"> INPUTS│Outcomes!G11</f>
        <v>14.226090648011846</v>
      </c>
      <c r="H12" s="233">
        <f xml:space="preserve"> INPUTS│Outcomes!H11</f>
        <v>11.652000000000001</v>
      </c>
      <c r="I12" s="233">
        <f xml:space="preserve"> INPUTS│Outcomes!I11</f>
        <v>14.37</v>
      </c>
      <c r="J12" s="233">
        <f xml:space="preserve"> INPUTS│Outcomes!J11</f>
        <v>14.619861664762418</v>
      </c>
      <c r="K12" s="233">
        <f xml:space="preserve"> INPUTS│Outcomes!K11</f>
        <v>15.271547781797601</v>
      </c>
      <c r="L12" s="233">
        <f xml:space="preserve"> INPUTS│Outcomes!L11</f>
        <v>12.758414111069101</v>
      </c>
      <c r="N12" s="14">
        <f t="shared" si="0"/>
        <v>-1.3736200103326173</v>
      </c>
      <c r="O12" s="235">
        <f t="shared" si="3"/>
        <v>-9.719903012775713E-2</v>
      </c>
      <c r="Q12" s="14">
        <f t="shared" si="1"/>
        <v>-2.5131336707285001</v>
      </c>
      <c r="R12" s="235">
        <f t="shared" si="2"/>
        <v>-0.16456312789224573</v>
      </c>
    </row>
    <row r="13" spans="2:19" outlineLevel="1" x14ac:dyDescent="0.3">
      <c r="C13" s="8" t="s">
        <v>87</v>
      </c>
      <c r="D13" s="11" t="s">
        <v>135</v>
      </c>
      <c r="E13" s="233">
        <f xml:space="preserve"> INPUTS│Outcomes!E12</f>
        <v>189.88</v>
      </c>
      <c r="F13" s="233">
        <f xml:space="preserve"> INPUTS│Outcomes!F12</f>
        <v>192.42</v>
      </c>
      <c r="G13" s="233">
        <f xml:space="preserve"> INPUTS│Outcomes!G12</f>
        <v>197.63</v>
      </c>
      <c r="H13" s="233">
        <f xml:space="preserve"> INPUTS│Outcomes!H12</f>
        <v>197.08</v>
      </c>
      <c r="I13" s="233">
        <f xml:space="preserve"> INPUTS│Outcomes!I12</f>
        <v>201.9</v>
      </c>
      <c r="J13" s="233">
        <f xml:space="preserve"> INPUTS│Outcomes!J12</f>
        <v>203.21</v>
      </c>
      <c r="K13" s="233">
        <f xml:space="preserve"> INPUTS│Outcomes!K12</f>
        <v>200.44</v>
      </c>
      <c r="L13" s="233">
        <f xml:space="preserve"> INPUTS│Outcomes!L12</f>
        <v>198.05</v>
      </c>
      <c r="N13" s="14">
        <f t="shared" si="0"/>
        <v>8.1700000000000159</v>
      </c>
      <c r="O13" s="235">
        <f t="shared" si="3"/>
        <v>4.3027175057931411E-2</v>
      </c>
      <c r="Q13" s="14">
        <f t="shared" si="1"/>
        <v>-2.3899999999999864</v>
      </c>
      <c r="R13" s="235">
        <f t="shared" si="2"/>
        <v>-1.1923767711035654E-2</v>
      </c>
    </row>
    <row r="14" spans="2:19" outlineLevel="1" x14ac:dyDescent="0.3">
      <c r="C14" s="8" t="s">
        <v>89</v>
      </c>
      <c r="D14" s="11" t="s">
        <v>135</v>
      </c>
      <c r="E14" s="233">
        <f xml:space="preserve"> INPUTS│Outcomes!E13</f>
        <v>436.27311311579626</v>
      </c>
      <c r="F14" s="233">
        <f xml:space="preserve"> INPUTS│Outcomes!F13</f>
        <v>437.25829527622415</v>
      </c>
      <c r="G14" s="233">
        <f xml:space="preserve"> INPUTS│Outcomes!G13</f>
        <v>439.17675269949331</v>
      </c>
      <c r="H14" s="233">
        <f xml:space="preserve"> INPUTS│Outcomes!H13</f>
        <v>432.18</v>
      </c>
      <c r="I14" s="233">
        <f xml:space="preserve"> INPUTS│Outcomes!I13</f>
        <v>430.5</v>
      </c>
      <c r="J14" s="233">
        <f xml:space="preserve"> INPUTS│Outcomes!J13</f>
        <v>439.21999999999997</v>
      </c>
      <c r="K14" s="233">
        <f xml:space="preserve"> INPUTS│Outcomes!K13</f>
        <v>424.36652485424298</v>
      </c>
      <c r="L14" s="233">
        <f xml:space="preserve"> INPUTS│Outcomes!L13</f>
        <v>404.53421899477303</v>
      </c>
      <c r="N14" s="14">
        <f t="shared" si="0"/>
        <v>-31.738894121023236</v>
      </c>
      <c r="O14" s="235">
        <f t="shared" si="3"/>
        <v>-7.2750057628692438E-2</v>
      </c>
      <c r="Q14" s="14">
        <f t="shared" si="1"/>
        <v>-19.832305859469955</v>
      </c>
      <c r="R14" s="235">
        <f t="shared" si="2"/>
        <v>-4.673390736058116E-2</v>
      </c>
    </row>
    <row r="15" spans="2:19" outlineLevel="1" x14ac:dyDescent="0.3">
      <c r="C15" s="8" t="s">
        <v>91</v>
      </c>
      <c r="D15" s="11" t="s">
        <v>135</v>
      </c>
      <c r="E15" s="233">
        <f xml:space="preserve"> INPUTS│Outcomes!E14</f>
        <v>105.1026538608006</v>
      </c>
      <c r="F15" s="233">
        <f xml:space="preserve"> INPUTS│Outcomes!F14</f>
        <v>104.99</v>
      </c>
      <c r="G15" s="233">
        <f xml:space="preserve"> INPUTS│Outcomes!G14</f>
        <v>105.2396126565489</v>
      </c>
      <c r="H15" s="233">
        <f xml:space="preserve"> INPUTS│Outcomes!H14</f>
        <v>103.38</v>
      </c>
      <c r="I15" s="233">
        <f xml:space="preserve"> INPUTS│Outcomes!I14</f>
        <v>103.51</v>
      </c>
      <c r="J15" s="233">
        <f xml:space="preserve"> INPUTS│Outcomes!J14</f>
        <v>102.46</v>
      </c>
      <c r="K15" s="233">
        <f xml:space="preserve"> INPUTS│Outcomes!K14</f>
        <v>103.638918532283</v>
      </c>
      <c r="L15" s="233">
        <f xml:space="preserve"> INPUTS│Outcomes!L14</f>
        <v>106.32</v>
      </c>
      <c r="N15" s="14">
        <f t="shared" si="0"/>
        <v>1.2173461391993925</v>
      </c>
      <c r="O15" s="235">
        <f t="shared" si="3"/>
        <v>1.1582449105535075E-2</v>
      </c>
      <c r="Q15" s="14">
        <f t="shared" si="1"/>
        <v>2.681081467716993</v>
      </c>
      <c r="R15" s="235">
        <f t="shared" si="2"/>
        <v>2.5869446590971998E-2</v>
      </c>
    </row>
    <row r="16" spans="2:19" outlineLevel="1" x14ac:dyDescent="0.3">
      <c r="C16" s="8" t="s">
        <v>94</v>
      </c>
      <c r="D16" s="11" t="s">
        <v>135</v>
      </c>
      <c r="E16" s="233">
        <f xml:space="preserve"> INPUTS│Outcomes!E15</f>
        <v>81.268901198179705</v>
      </c>
      <c r="F16" s="233">
        <f xml:space="preserve"> INPUTS│Outcomes!F15</f>
        <v>84.59</v>
      </c>
      <c r="G16" s="233">
        <f xml:space="preserve"> INPUTS│Outcomes!G15</f>
        <v>81.69</v>
      </c>
      <c r="H16" s="233">
        <f xml:space="preserve"> INPUTS│Outcomes!H15</f>
        <v>83.91</v>
      </c>
      <c r="I16" s="233">
        <f xml:space="preserve"> INPUTS│Outcomes!I15</f>
        <v>88.110156640835797</v>
      </c>
      <c r="J16" s="233">
        <f xml:space="preserve"> INPUTS│Outcomes!J15</f>
        <v>88.680494328295197</v>
      </c>
      <c r="K16" s="233">
        <f xml:space="preserve"> INPUTS│Outcomes!K15</f>
        <v>101.83</v>
      </c>
      <c r="L16" s="233">
        <f xml:space="preserve"> INPUTS│Outcomes!L15</f>
        <v>94.04</v>
      </c>
      <c r="N16" s="14">
        <f t="shared" si="0"/>
        <v>12.771098801820301</v>
      </c>
      <c r="O16" s="235">
        <f t="shared" si="3"/>
        <v>0.15714619754335196</v>
      </c>
      <c r="Q16" s="14">
        <f t="shared" si="1"/>
        <v>-7.789999999999992</v>
      </c>
      <c r="R16" s="235">
        <f t="shared" si="2"/>
        <v>-7.6500049101443507E-2</v>
      </c>
    </row>
    <row r="17" spans="2:19" outlineLevel="1" x14ac:dyDescent="0.3">
      <c r="C17" s="8" t="s">
        <v>96</v>
      </c>
      <c r="D17" s="11" t="s">
        <v>135</v>
      </c>
      <c r="E17" s="233">
        <f xml:space="preserve"> INPUTS│Outcomes!E16</f>
        <v>645.54282745752801</v>
      </c>
      <c r="F17" s="233">
        <f xml:space="preserve"> INPUTS│Outcomes!F16</f>
        <v>644.29999999999995</v>
      </c>
      <c r="G17" s="233">
        <f xml:space="preserve"> INPUTS│Outcomes!G16</f>
        <v>653.96</v>
      </c>
      <c r="H17" s="233">
        <f xml:space="preserve"> INPUTS│Outcomes!H16</f>
        <v>642.46</v>
      </c>
      <c r="I17" s="233">
        <f xml:space="preserve"> INPUTS│Outcomes!I16</f>
        <v>677.15227390796599</v>
      </c>
      <c r="J17" s="233">
        <f xml:space="preserve"> INPUTS│Outcomes!J16</f>
        <v>694.65</v>
      </c>
      <c r="K17" s="233">
        <f xml:space="preserve"> INPUTS│Outcomes!K16</f>
        <v>690.39</v>
      </c>
      <c r="L17" s="233">
        <f xml:space="preserve"> INPUTS│Outcomes!L16</f>
        <v>594.83000000000004</v>
      </c>
      <c r="N17" s="14">
        <f t="shared" si="0"/>
        <v>-50.712827457527965</v>
      </c>
      <c r="O17" s="235">
        <f t="shared" si="3"/>
        <v>-7.8558424477056868E-2</v>
      </c>
      <c r="Q17" s="14">
        <f t="shared" si="1"/>
        <v>-95.559999999999945</v>
      </c>
      <c r="R17" s="235">
        <f t="shared" si="2"/>
        <v>-0.13841451932965418</v>
      </c>
    </row>
    <row r="18" spans="2:19" outlineLevel="1" x14ac:dyDescent="0.3">
      <c r="C18" s="8" t="s">
        <v>98</v>
      </c>
      <c r="D18" s="11" t="s">
        <v>135</v>
      </c>
      <c r="E18" s="233">
        <f xml:space="preserve"> INPUTS│Outcomes!E17</f>
        <v>457.36316498791899</v>
      </c>
      <c r="F18" s="233">
        <f xml:space="preserve"> INPUTS│Outcomes!F17</f>
        <v>451.93281348633298</v>
      </c>
      <c r="G18" s="233">
        <f xml:space="preserve"> INPUTS│Outcomes!G17</f>
        <v>453.61355904751701</v>
      </c>
      <c r="H18" s="233">
        <f xml:space="preserve"> INPUTS│Outcomes!H17</f>
        <v>451.85689213569498</v>
      </c>
      <c r="I18" s="233">
        <f xml:space="preserve"> INPUTS│Outcomes!I17</f>
        <v>439.22019750905099</v>
      </c>
      <c r="J18" s="233">
        <f xml:space="preserve"> INPUTS│Outcomes!J17</f>
        <v>453.52338212963201</v>
      </c>
      <c r="K18" s="233">
        <f xml:space="preserve"> INPUTS│Outcomes!K17</f>
        <v>455.97429109638102</v>
      </c>
      <c r="L18" s="233">
        <f xml:space="preserve"> INPUTS│Outcomes!L17</f>
        <v>446.10437844157599</v>
      </c>
      <c r="N18" s="14">
        <f t="shared" si="0"/>
        <v>-11.258786546343003</v>
      </c>
      <c r="O18" s="235">
        <f t="shared" si="3"/>
        <v>-2.4616732190578573E-2</v>
      </c>
      <c r="Q18" s="14">
        <f t="shared" si="1"/>
        <v>-9.8699126548050344</v>
      </c>
      <c r="R18" s="235">
        <f t="shared" si="2"/>
        <v>-2.1645765666026977E-2</v>
      </c>
    </row>
    <row r="19" spans="2:19" outlineLevel="1" x14ac:dyDescent="0.3">
      <c r="C19" s="8" t="s">
        <v>100</v>
      </c>
      <c r="D19" s="11" t="s">
        <v>135</v>
      </c>
      <c r="E19" s="233">
        <f xml:space="preserve"> INPUTS│Outcomes!E18</f>
        <v>68.52</v>
      </c>
      <c r="F19" s="233">
        <f xml:space="preserve"> INPUTS│Outcomes!F18</f>
        <v>69.33</v>
      </c>
      <c r="G19" s="233">
        <f xml:space="preserve"> INPUTS│Outcomes!G18</f>
        <v>68.58</v>
      </c>
      <c r="H19" s="233">
        <f xml:space="preserve"> INPUTS│Outcomes!H18</f>
        <v>68.33</v>
      </c>
      <c r="I19" s="233">
        <f xml:space="preserve"> INPUTS│Outcomes!I18</f>
        <v>68.349999999999994</v>
      </c>
      <c r="J19" s="233">
        <f xml:space="preserve"> INPUTS│Outcomes!J18</f>
        <v>67.709999999999994</v>
      </c>
      <c r="K19" s="233">
        <f xml:space="preserve"> INPUTS│Outcomes!K18</f>
        <v>66.39</v>
      </c>
      <c r="L19" s="233">
        <f xml:space="preserve"> INPUTS│Outcomes!L18</f>
        <v>61.35</v>
      </c>
      <c r="N19" s="14">
        <f t="shared" si="0"/>
        <v>-7.1699999999999946</v>
      </c>
      <c r="O19" s="235">
        <f t="shared" si="3"/>
        <v>-0.10464098073555159</v>
      </c>
      <c r="Q19" s="14">
        <f t="shared" si="1"/>
        <v>-5.0399999999999991</v>
      </c>
      <c r="R19" s="235">
        <f t="shared" si="2"/>
        <v>-7.5915047446904638E-2</v>
      </c>
    </row>
    <row r="20" spans="2:19" outlineLevel="1" x14ac:dyDescent="0.3">
      <c r="C20" s="8" t="s">
        <v>102</v>
      </c>
      <c r="D20" s="11" t="s">
        <v>135</v>
      </c>
      <c r="E20" s="233">
        <f xml:space="preserve"> INPUTS│Outcomes!E19</f>
        <v>264.62</v>
      </c>
      <c r="F20" s="233">
        <f xml:space="preserve"> INPUTS│Outcomes!F19</f>
        <v>282.27</v>
      </c>
      <c r="G20" s="233">
        <f xml:space="preserve"> INPUTS│Outcomes!G19</f>
        <v>288.41547573538099</v>
      </c>
      <c r="H20" s="233">
        <f xml:space="preserve"> INPUTS│Outcomes!H19</f>
        <v>285.120939363964</v>
      </c>
      <c r="I20" s="233">
        <f xml:space="preserve"> INPUTS│Outcomes!I19</f>
        <v>295.16000000000003</v>
      </c>
      <c r="J20" s="233">
        <f xml:space="preserve"> INPUTS│Outcomes!J19</f>
        <v>300.27999999999997</v>
      </c>
      <c r="K20" s="233">
        <f xml:space="preserve"> INPUTS│Outcomes!K19</f>
        <v>289.77</v>
      </c>
      <c r="L20" s="233">
        <f xml:space="preserve"> INPUTS│Outcomes!L19</f>
        <v>270.75</v>
      </c>
      <c r="N20" s="14">
        <f t="shared" si="0"/>
        <v>6.1299999999999955</v>
      </c>
      <c r="O20" s="235">
        <f t="shared" si="3"/>
        <v>2.3165293628599485E-2</v>
      </c>
      <c r="Q20" s="14">
        <f t="shared" si="1"/>
        <v>-19.019999999999982</v>
      </c>
      <c r="R20" s="235">
        <f t="shared" si="2"/>
        <v>-6.5638264830727766E-2</v>
      </c>
    </row>
    <row r="21" spans="2:19" outlineLevel="1" x14ac:dyDescent="0.3">
      <c r="C21" s="8" t="s">
        <v>104</v>
      </c>
      <c r="D21" s="11" t="s">
        <v>135</v>
      </c>
      <c r="E21" s="233">
        <f xml:space="preserve"> INPUTS│Outcomes!E20</f>
        <v>189.488144241199</v>
      </c>
      <c r="F21" s="233">
        <f xml:space="preserve"> INPUTS│Outcomes!F20</f>
        <v>180.741673275225</v>
      </c>
      <c r="G21" s="233">
        <f xml:space="preserve"> INPUTS│Outcomes!G20</f>
        <v>183.485497630921</v>
      </c>
      <c r="H21" s="233">
        <f xml:space="preserve"> INPUTS│Outcomes!H20</f>
        <v>180.88999899999999</v>
      </c>
      <c r="I21" s="233">
        <f xml:space="preserve"> INPUTS│Outcomes!I20</f>
        <v>172.986870233817</v>
      </c>
      <c r="J21" s="233">
        <f xml:space="preserve"> INPUTS│Outcomes!J20</f>
        <v>177.2</v>
      </c>
      <c r="K21" s="233">
        <f xml:space="preserve"> INPUTS│Outcomes!K20</f>
        <v>196.07640970180401</v>
      </c>
      <c r="L21" s="233">
        <f xml:space="preserve"> INPUTS│Outcomes!L20</f>
        <v>162.12150165483101</v>
      </c>
      <c r="N21" s="14">
        <f t="shared" si="0"/>
        <v>-27.366642586367988</v>
      </c>
      <c r="O21" s="235">
        <f t="shared" si="3"/>
        <v>-0.14442403611031757</v>
      </c>
      <c r="Q21" s="14">
        <f t="shared" si="1"/>
        <v>-33.954908046973003</v>
      </c>
      <c r="R21" s="235">
        <f t="shared" si="2"/>
        <v>-0.17317181653117855</v>
      </c>
    </row>
    <row r="22" spans="2:19" outlineLevel="1" x14ac:dyDescent="0.3">
      <c r="C22" s="8" t="s">
        <v>106</v>
      </c>
      <c r="D22" s="11" t="s">
        <v>135</v>
      </c>
      <c r="E22" s="233">
        <f xml:space="preserve"> INPUTS│Outcomes!E21</f>
        <v>42.1</v>
      </c>
      <c r="F22" s="233">
        <f xml:space="preserve"> INPUTS│Outcomes!F21</f>
        <v>43.686864841972898</v>
      </c>
      <c r="G22" s="233">
        <f xml:space="preserve"> INPUTS│Outcomes!G21</f>
        <v>45.117175086861799</v>
      </c>
      <c r="H22" s="233">
        <f xml:space="preserve"> INPUTS│Outcomes!H21</f>
        <v>44.220819062218197</v>
      </c>
      <c r="I22" s="233">
        <f xml:space="preserve"> INPUTS│Outcomes!I21</f>
        <v>46.42</v>
      </c>
      <c r="J22" s="233">
        <f xml:space="preserve"> INPUTS│Outcomes!J21</f>
        <v>46.64</v>
      </c>
      <c r="K22" s="233">
        <f xml:space="preserve"> INPUTS│Outcomes!K21</f>
        <v>41.71</v>
      </c>
      <c r="L22" s="233">
        <f xml:space="preserve"> INPUTS│Outcomes!L21</f>
        <v>37.21</v>
      </c>
      <c r="N22" s="14">
        <f t="shared" si="0"/>
        <v>-4.8900000000000006</v>
      </c>
      <c r="O22" s="235">
        <f t="shared" si="3"/>
        <v>-0.1161520190023753</v>
      </c>
      <c r="Q22" s="14">
        <f t="shared" si="1"/>
        <v>-4.5</v>
      </c>
      <c r="R22" s="235">
        <f t="shared" si="2"/>
        <v>-0.1078877966914409</v>
      </c>
    </row>
    <row r="23" spans="2:19" outlineLevel="1" x14ac:dyDescent="0.3">
      <c r="C23" s="8" t="s">
        <v>108</v>
      </c>
      <c r="D23" s="11" t="s">
        <v>135</v>
      </c>
      <c r="E23" s="233">
        <f xml:space="preserve"> INPUTS│Outcomes!E22</f>
        <v>34.07</v>
      </c>
      <c r="F23" s="233">
        <f xml:space="preserve"> INPUTS│Outcomes!F22</f>
        <v>29.5</v>
      </c>
      <c r="G23" s="233">
        <f xml:space="preserve"> INPUTS│Outcomes!G22</f>
        <v>28.85</v>
      </c>
      <c r="H23" s="233">
        <f xml:space="preserve"> INPUTS│Outcomes!H22</f>
        <v>28.23</v>
      </c>
      <c r="I23" s="233">
        <f xml:space="preserve"> INPUTS│Outcomes!I22</f>
        <v>30.37</v>
      </c>
      <c r="J23" s="233">
        <f xml:space="preserve"> INPUTS│Outcomes!J22</f>
        <v>32.869999999999997</v>
      </c>
      <c r="K23" s="233">
        <f xml:space="preserve"> INPUTS│Outcomes!K22</f>
        <v>28.12</v>
      </c>
      <c r="L23" s="233">
        <f xml:space="preserve"> INPUTS│Outcomes!L22</f>
        <v>23.58</v>
      </c>
      <c r="N23" s="14">
        <f t="shared" si="0"/>
        <v>-10.490000000000002</v>
      </c>
      <c r="O23" s="235">
        <f t="shared" si="3"/>
        <v>-0.30789550924567072</v>
      </c>
      <c r="Q23" s="14">
        <f t="shared" si="1"/>
        <v>-4.5400000000000027</v>
      </c>
      <c r="R23" s="235">
        <f t="shared" si="2"/>
        <v>-0.16145092460881943</v>
      </c>
    </row>
    <row r="24" spans="2:19" outlineLevel="1" x14ac:dyDescent="0.3">
      <c r="C24" s="8" t="s">
        <v>112</v>
      </c>
      <c r="D24" s="11" t="s">
        <v>135</v>
      </c>
      <c r="E24" s="233">
        <f xml:space="preserve"> INPUTS│Outcomes!E23</f>
        <v>93.16</v>
      </c>
      <c r="F24" s="233">
        <f xml:space="preserve"> INPUTS│Outcomes!F23</f>
        <v>92.558189507076605</v>
      </c>
      <c r="G24" s="233">
        <f xml:space="preserve"> INPUTS│Outcomes!G23</f>
        <v>92.452515149166402</v>
      </c>
      <c r="H24" s="233">
        <f xml:space="preserve"> INPUTS│Outcomes!H23</f>
        <v>88.107760204071198</v>
      </c>
      <c r="I24" s="233">
        <f xml:space="preserve"> INPUTS│Outcomes!I23</f>
        <v>88.625186521672603</v>
      </c>
      <c r="J24" s="233">
        <f xml:space="preserve"> INPUTS│Outcomes!J23</f>
        <v>87.69</v>
      </c>
      <c r="K24" s="233">
        <f xml:space="preserve"> INPUTS│Outcomes!K23</f>
        <v>86.88</v>
      </c>
      <c r="L24" s="233">
        <f xml:space="preserve"> INPUTS│Outcomes!L23</f>
        <v>86.4003977659047</v>
      </c>
      <c r="N24" s="14">
        <f t="shared" si="0"/>
        <v>-6.759602234095297</v>
      </c>
      <c r="O24" s="235">
        <f t="shared" si="3"/>
        <v>-7.2559062195097654E-2</v>
      </c>
      <c r="Q24" s="14">
        <f t="shared" si="1"/>
        <v>-0.4796022340952959</v>
      </c>
      <c r="R24" s="235">
        <f t="shared" si="2"/>
        <v>-5.5202835416125222E-3</v>
      </c>
    </row>
    <row r="25" spans="2:19" outlineLevel="1" x14ac:dyDescent="0.3">
      <c r="C25" s="8" t="s">
        <v>114</v>
      </c>
      <c r="D25" s="11" t="s">
        <v>135</v>
      </c>
      <c r="E25" s="233">
        <f xml:space="preserve"> INPUTS│Outcomes!E24</f>
        <v>77.61</v>
      </c>
      <c r="F25" s="233">
        <f xml:space="preserve"> INPUTS│Outcomes!F24</f>
        <v>79.594395391550506</v>
      </c>
      <c r="G25" s="233">
        <f xml:space="preserve"> INPUTS│Outcomes!G24</f>
        <v>82.748233259873899</v>
      </c>
      <c r="H25" s="233">
        <f xml:space="preserve"> INPUTS│Outcomes!H24</f>
        <v>83.119603622010601</v>
      </c>
      <c r="I25" s="233">
        <f xml:space="preserve"> INPUTS│Outcomes!I24</f>
        <v>84.17</v>
      </c>
      <c r="J25" s="233">
        <f xml:space="preserve"> INPUTS│Outcomes!J24</f>
        <v>86.8</v>
      </c>
      <c r="K25" s="233">
        <f xml:space="preserve"> INPUTS│Outcomes!K24</f>
        <v>83.74</v>
      </c>
      <c r="L25" s="233">
        <f xml:space="preserve"> INPUTS│Outcomes!L24</f>
        <v>81.69</v>
      </c>
      <c r="N25" s="14">
        <f t="shared" si="0"/>
        <v>4.0799999999999983</v>
      </c>
      <c r="O25" s="235">
        <f t="shared" si="3"/>
        <v>5.2570545032856568E-2</v>
      </c>
      <c r="Q25" s="14">
        <f t="shared" si="1"/>
        <v>-2.0499999999999972</v>
      </c>
      <c r="R25" s="235">
        <f t="shared" si="2"/>
        <v>-2.4480534989252414E-2</v>
      </c>
    </row>
    <row r="26" spans="2:19" outlineLevel="1" x14ac:dyDescent="0.3">
      <c r="C26" s="8" t="s">
        <v>110</v>
      </c>
      <c r="D26" s="11" t="s">
        <v>135</v>
      </c>
      <c r="E26" s="233">
        <f xml:space="preserve"> INPUTS│Outcomes!E25</f>
        <v>23.74</v>
      </c>
      <c r="F26" s="233">
        <f xml:space="preserve"> INPUTS│Outcomes!F25</f>
        <v>23.93</v>
      </c>
      <c r="G26" s="233">
        <f xml:space="preserve"> INPUTS│Outcomes!G25</f>
        <v>24.16</v>
      </c>
      <c r="H26" s="233">
        <f xml:space="preserve"> INPUTS│Outcomes!H25</f>
        <v>24.17</v>
      </c>
      <c r="I26" s="233">
        <f xml:space="preserve"> INPUTS│Outcomes!I25</f>
        <v>24.34</v>
      </c>
      <c r="J26" s="233">
        <f xml:space="preserve"> INPUTS│Outcomes!J25</f>
        <v>24.16</v>
      </c>
      <c r="K26" s="233">
        <f xml:space="preserve"> INPUTS│Outcomes!K25</f>
        <v>24.15</v>
      </c>
      <c r="L26" s="233">
        <f xml:space="preserve"> INPUTS│Outcomes!L25</f>
        <v>23.95</v>
      </c>
      <c r="N26" s="14">
        <f xml:space="preserve"> INDEX( E26:L26, 1, MATCH( Year, $E$2:$L$2, 0 ) ) - E26</f>
        <v>0.21000000000000085</v>
      </c>
      <c r="O26" s="235">
        <f t="shared" si="3"/>
        <v>8.8458298230834394E-3</v>
      </c>
      <c r="Q26" s="14">
        <f t="shared" si="1"/>
        <v>-0.19999999999999929</v>
      </c>
      <c r="R26" s="235">
        <f t="shared" si="2"/>
        <v>-8.2815734989647744E-3</v>
      </c>
    </row>
    <row r="27" spans="2:19" outlineLevel="1" x14ac:dyDescent="0.3"/>
    <row r="28" spans="2:19" outlineLevel="1" x14ac:dyDescent="0.3">
      <c r="C28" s="12" t="s">
        <v>424</v>
      </c>
      <c r="D28" s="13" t="s">
        <v>135</v>
      </c>
      <c r="E28" s="14">
        <f>SUM(E10:E26)</f>
        <v>3096.8151477549559</v>
      </c>
      <c r="F28" s="14">
        <f t="shared" ref="F28:L28" si="4">SUM(F10:F26)</f>
        <v>3107.7369759281814</v>
      </c>
      <c r="G28" s="14">
        <f t="shared" si="4"/>
        <v>3130.8637721481546</v>
      </c>
      <c r="H28" s="14">
        <f t="shared" si="4"/>
        <v>3087.2139142966917</v>
      </c>
      <c r="I28" s="14">
        <f t="shared" si="4"/>
        <v>3125.3308081592158</v>
      </c>
      <c r="J28" s="14">
        <f t="shared" si="4"/>
        <v>3175.2227381226894</v>
      </c>
      <c r="K28" s="14">
        <f t="shared" si="4"/>
        <v>3169.5277648063652</v>
      </c>
      <c r="L28" s="14">
        <f t="shared" si="4"/>
        <v>2954.028910968153</v>
      </c>
      <c r="N28" s="14">
        <f xml:space="preserve"> INDEX( E28:L28, 1, MATCH( Year, $E$2:$L$2, 0 ) ) - E28</f>
        <v>-142.78623678680287</v>
      </c>
      <c r="O28" s="235">
        <f t="shared" si="3"/>
        <v>-4.6107445867512024E-2</v>
      </c>
      <c r="Q28" s="14">
        <f xml:space="preserve"> INDEX( E28:L28, 1, MATCH( Year, $E$2:$L$2, 0 ) ) - INDEX( E28:L28, 1, MATCH( Last_year, $E$2:$L$2, 0 ) )</f>
        <v>-215.4988538382122</v>
      </c>
      <c r="R28" s="235">
        <f xml:space="preserve"> IF( INDEX( $E28:$L28, 1, MATCH( Last_year, $E$2:$L$2, 0 ) ) = 0, "-", Q28 / INDEX( $E28:$L28, 1, MATCH( Last_year, $E$2:$L$2, 0 ) ) )</f>
        <v>-6.7990839591644217E-2</v>
      </c>
    </row>
    <row r="29" spans="2:19" outlineLevel="1" x14ac:dyDescent="0.3"/>
    <row r="30" spans="2:19" ht="13.5" outlineLevel="1" x14ac:dyDescent="0.35">
      <c r="B30" s="31" t="s">
        <v>425</v>
      </c>
      <c r="C30" s="31"/>
      <c r="D30" s="28"/>
      <c r="E30" s="29"/>
      <c r="F30" s="29"/>
      <c r="G30" s="29"/>
      <c r="H30" s="29"/>
      <c r="I30" s="29"/>
      <c r="J30" s="29"/>
      <c r="K30" s="29"/>
      <c r="L30" s="29"/>
      <c r="M30" s="29"/>
      <c r="N30" s="29"/>
      <c r="O30" s="59"/>
      <c r="P30" s="29"/>
      <c r="Q30" s="29"/>
      <c r="R30" s="59"/>
      <c r="S30" s="29"/>
    </row>
    <row r="31" spans="2:19" outlineLevel="1" x14ac:dyDescent="0.3"/>
    <row r="32" spans="2:19" outlineLevel="1" x14ac:dyDescent="0.3">
      <c r="C32" s="8" t="s">
        <v>80</v>
      </c>
      <c r="D32" s="11" t="s">
        <v>137</v>
      </c>
      <c r="E32" s="53">
        <f xml:space="preserve"> INPUTS│Outcomes!E31</f>
        <v>38006.129999999997</v>
      </c>
      <c r="F32" s="53">
        <f xml:space="preserve"> INPUTS│Outcomes!F31</f>
        <v>38076.050000000003</v>
      </c>
      <c r="G32" s="53">
        <f xml:space="preserve"> INPUTS│Outcomes!G31</f>
        <v>38095.050000000003</v>
      </c>
      <c r="H32" s="53">
        <f xml:space="preserve"> INPUTS│Outcomes!H31</f>
        <v>38184.71</v>
      </c>
      <c r="I32" s="53">
        <f xml:space="preserve"> INPUTS│Outcomes!I31</f>
        <v>38325.279999999999</v>
      </c>
      <c r="J32" s="53">
        <f xml:space="preserve"> INPUTS│Outcomes!J31</f>
        <v>38419.65</v>
      </c>
      <c r="K32" s="53">
        <f xml:space="preserve"> INPUTS│Outcomes!K31</f>
        <v>38584.370000000003</v>
      </c>
      <c r="L32" s="53">
        <f xml:space="preserve"> INPUTS│Outcomes!L31</f>
        <v>38709</v>
      </c>
    </row>
    <row r="33" spans="3:12" outlineLevel="1" x14ac:dyDescent="0.3">
      <c r="C33" s="8" t="s">
        <v>82</v>
      </c>
      <c r="D33" s="11" t="s">
        <v>137</v>
      </c>
      <c r="E33" s="53">
        <f xml:space="preserve"> INPUTS│Outcomes!E32</f>
        <v>27225.7</v>
      </c>
      <c r="F33" s="53">
        <f xml:space="preserve"> INPUTS│Outcomes!F32</f>
        <v>27218.7</v>
      </c>
      <c r="G33" s="53">
        <f xml:space="preserve"> INPUTS│Outcomes!G32</f>
        <v>27275.3</v>
      </c>
      <c r="H33" s="53">
        <f xml:space="preserve"> INPUTS│Outcomes!H32</f>
        <v>27359.8</v>
      </c>
      <c r="I33" s="53">
        <f xml:space="preserve"> INPUTS│Outcomes!I32</f>
        <v>27563.599999999999</v>
      </c>
      <c r="J33" s="53">
        <f xml:space="preserve"> INPUTS│Outcomes!J32</f>
        <v>27597</v>
      </c>
      <c r="K33" s="53">
        <f xml:space="preserve"> INPUTS│Outcomes!K32</f>
        <v>27644.400000000001</v>
      </c>
      <c r="L33" s="53">
        <f xml:space="preserve"> INPUTS│Outcomes!L32</f>
        <v>27733.4</v>
      </c>
    </row>
    <row r="34" spans="3:12" outlineLevel="1" x14ac:dyDescent="0.3">
      <c r="C34" s="8" t="s">
        <v>85</v>
      </c>
      <c r="D34" s="11" t="s">
        <v>137</v>
      </c>
      <c r="E34" s="53">
        <f xml:space="preserve"> INPUTS│Outcomes!E33</f>
        <v>2577.0311208885255</v>
      </c>
      <c r="F34" s="53">
        <f xml:space="preserve"> INPUTS│Outcomes!F33</f>
        <v>2581.4933484256035</v>
      </c>
      <c r="G34" s="53">
        <f xml:space="preserve"> INPUTS│Outcomes!G33</f>
        <v>2585.5677097198404</v>
      </c>
      <c r="H34" s="53">
        <f xml:space="preserve"> INPUTS│Outcomes!H33</f>
        <v>2595.5297603449544</v>
      </c>
      <c r="I34" s="53">
        <f xml:space="preserve"> INPUTS│Outcomes!I33</f>
        <v>2603.4588473424196</v>
      </c>
      <c r="J34" s="53">
        <f xml:space="preserve"> INPUTS│Outcomes!J33</f>
        <v>2626.6137800000001</v>
      </c>
      <c r="K34" s="53">
        <f xml:space="preserve"> INPUTS│Outcomes!K33</f>
        <v>2606.0845890000001</v>
      </c>
      <c r="L34" s="53">
        <f xml:space="preserve"> INPUTS│Outcomes!L33</f>
        <v>2619.2333619999999</v>
      </c>
    </row>
    <row r="35" spans="3:12" outlineLevel="1" x14ac:dyDescent="0.3">
      <c r="C35" s="8" t="s">
        <v>87</v>
      </c>
      <c r="D35" s="11" t="s">
        <v>137</v>
      </c>
      <c r="E35" s="53">
        <f xml:space="preserve"> INPUTS│Outcomes!E34</f>
        <v>25406.7</v>
      </c>
      <c r="F35" s="53">
        <f xml:space="preserve"> INPUTS│Outcomes!F34</f>
        <v>25613</v>
      </c>
      <c r="G35" s="53">
        <f xml:space="preserve"> INPUTS│Outcomes!G34</f>
        <v>25676.3</v>
      </c>
      <c r="H35" s="53">
        <f xml:space="preserve"> INPUTS│Outcomes!H34</f>
        <v>25760.6</v>
      </c>
      <c r="I35" s="53">
        <f xml:space="preserve"> INPUTS│Outcomes!I34</f>
        <v>25812.799999999999</v>
      </c>
      <c r="J35" s="53">
        <f xml:space="preserve"> INPUTS│Outcomes!J34</f>
        <v>25912.1</v>
      </c>
      <c r="K35" s="53">
        <f xml:space="preserve"> INPUTS│Outcomes!K34</f>
        <v>26032.3</v>
      </c>
      <c r="L35" s="53">
        <f xml:space="preserve"> INPUTS│Outcomes!L34</f>
        <v>26200.2</v>
      </c>
    </row>
    <row r="36" spans="3:12" outlineLevel="1" x14ac:dyDescent="0.3">
      <c r="C36" s="8" t="s">
        <v>89</v>
      </c>
      <c r="D36" s="11" t="s">
        <v>137</v>
      </c>
      <c r="E36" s="53">
        <f xml:space="preserve"> INPUTS│Outcomes!E35</f>
        <v>45975.106527863332</v>
      </c>
      <c r="F36" s="53">
        <f xml:space="preserve"> INPUTS│Outcomes!F35</f>
        <v>46054.714175867986</v>
      </c>
      <c r="G36" s="53">
        <f xml:space="preserve"> INPUTS│Outcomes!G35</f>
        <v>46127.402158957208</v>
      </c>
      <c r="H36" s="53">
        <f xml:space="preserve"> INPUTS│Outcomes!H35</f>
        <v>46305.128510421557</v>
      </c>
      <c r="I36" s="53">
        <f xml:space="preserve"> INPUTS│Outcomes!I35</f>
        <v>46446.58610339446</v>
      </c>
      <c r="J36" s="53">
        <f xml:space="preserve"> INPUTS│Outcomes!J35</f>
        <v>46539.848021002996</v>
      </c>
      <c r="K36" s="53">
        <f xml:space="preserve"> INPUTS│Outcomes!K35</f>
        <v>46814.915666002998</v>
      </c>
      <c r="L36" s="53">
        <f xml:space="preserve"> INPUTS│Outcomes!L35</f>
        <v>47064.410355004002</v>
      </c>
    </row>
    <row r="37" spans="3:12" outlineLevel="1" x14ac:dyDescent="0.3">
      <c r="C37" s="8" t="s">
        <v>91</v>
      </c>
      <c r="D37" s="11" t="s">
        <v>137</v>
      </c>
      <c r="E37" s="53">
        <f xml:space="preserve"> INPUTS│Outcomes!E36</f>
        <v>17997.86</v>
      </c>
      <c r="F37" s="53">
        <f xml:space="preserve"> INPUTS│Outcomes!F36</f>
        <v>18024.21</v>
      </c>
      <c r="G37" s="53">
        <f xml:space="preserve"> INPUTS│Outcomes!G36</f>
        <v>18082.939999999999</v>
      </c>
      <c r="H37" s="53">
        <f xml:space="preserve"> INPUTS│Outcomes!H36</f>
        <v>18117.32</v>
      </c>
      <c r="I37" s="53">
        <f xml:space="preserve"> INPUTS│Outcomes!I36</f>
        <v>18176.099999999999</v>
      </c>
      <c r="J37" s="53">
        <f xml:space="preserve"> INPUTS│Outcomes!J36</f>
        <v>18233</v>
      </c>
      <c r="K37" s="53">
        <f xml:space="preserve"> INPUTS│Outcomes!K36</f>
        <v>18300.34</v>
      </c>
      <c r="L37" s="53">
        <f xml:space="preserve"> INPUTS│Outcomes!L36</f>
        <v>18369.64</v>
      </c>
    </row>
    <row r="38" spans="3:12" outlineLevel="1" x14ac:dyDescent="0.3">
      <c r="C38" s="8" t="s">
        <v>94</v>
      </c>
      <c r="D38" s="11" t="s">
        <v>137</v>
      </c>
      <c r="E38" s="53">
        <f xml:space="preserve"> INPUTS│Outcomes!E37</f>
        <v>13735.07</v>
      </c>
      <c r="F38" s="53">
        <f xml:space="preserve"> INPUTS│Outcomes!F37</f>
        <v>13753.18</v>
      </c>
      <c r="G38" s="53">
        <f xml:space="preserve"> INPUTS│Outcomes!G37</f>
        <v>13792.82</v>
      </c>
      <c r="H38" s="53">
        <f xml:space="preserve"> INPUTS│Outcomes!H37</f>
        <v>13837.42</v>
      </c>
      <c r="I38" s="53">
        <f xml:space="preserve"> INPUTS│Outcomes!I37</f>
        <v>13870.3045</v>
      </c>
      <c r="J38" s="53">
        <f xml:space="preserve"> INPUTS│Outcomes!J37</f>
        <v>13905.12</v>
      </c>
      <c r="K38" s="53">
        <f xml:space="preserve"> INPUTS│Outcomes!K37</f>
        <v>13929.4851</v>
      </c>
      <c r="L38" s="53">
        <f xml:space="preserve"> INPUTS│Outcomes!L37</f>
        <v>13959.3</v>
      </c>
    </row>
    <row r="39" spans="3:12" outlineLevel="1" x14ac:dyDescent="0.3">
      <c r="C39" s="8" t="s">
        <v>96</v>
      </c>
      <c r="D39" s="11" t="s">
        <v>137</v>
      </c>
      <c r="E39" s="53">
        <f xml:space="preserve"> INPUTS│Outcomes!E38</f>
        <v>31186.941609252201</v>
      </c>
      <c r="F39" s="53">
        <f xml:space="preserve"> INPUTS│Outcomes!F38</f>
        <v>31114.729238496999</v>
      </c>
      <c r="G39" s="53">
        <f xml:space="preserve"> INPUTS│Outcomes!G38</f>
        <v>31147.73</v>
      </c>
      <c r="H39" s="53">
        <f xml:space="preserve"> INPUTS│Outcomes!H38</f>
        <v>31266.5</v>
      </c>
      <c r="I39" s="53">
        <f xml:space="preserve"> INPUTS│Outcomes!I38</f>
        <v>31373.7</v>
      </c>
      <c r="J39" s="53">
        <f xml:space="preserve"> INPUTS│Outcomes!J38</f>
        <v>31460.6</v>
      </c>
      <c r="K39" s="53">
        <f xml:space="preserve"> INPUTS│Outcomes!K38</f>
        <v>31549.996711005999</v>
      </c>
      <c r="L39" s="53">
        <f xml:space="preserve"> INPUTS│Outcomes!L38</f>
        <v>31624.04</v>
      </c>
    </row>
    <row r="40" spans="3:12" outlineLevel="1" x14ac:dyDescent="0.3">
      <c r="C40" s="8" t="s">
        <v>98</v>
      </c>
      <c r="D40" s="11" t="s">
        <v>137</v>
      </c>
      <c r="E40" s="53">
        <f xml:space="preserve"> INPUTS│Outcomes!E39</f>
        <v>41578.134806973998</v>
      </c>
      <c r="F40" s="53">
        <f xml:space="preserve"> INPUTS│Outcomes!F39</f>
        <v>41578.134806973998</v>
      </c>
      <c r="G40" s="53">
        <f xml:space="preserve"> INPUTS│Outcomes!G39</f>
        <v>41715.672245102003</v>
      </c>
      <c r="H40" s="53">
        <f xml:space="preserve"> INPUTS│Outcomes!H39</f>
        <v>41881.199636233003</v>
      </c>
      <c r="I40" s="53">
        <f xml:space="preserve"> INPUTS│Outcomes!I39</f>
        <v>42010.7</v>
      </c>
      <c r="J40" s="53">
        <f xml:space="preserve"> INPUTS│Outcomes!J39</f>
        <v>42102.877915341996</v>
      </c>
      <c r="K40" s="53">
        <f xml:space="preserve"> INPUTS│Outcomes!K39</f>
        <v>42198.05</v>
      </c>
      <c r="L40" s="53">
        <f xml:space="preserve"> INPUTS│Outcomes!L39</f>
        <v>42382.02</v>
      </c>
    </row>
    <row r="41" spans="3:12" outlineLevel="1" x14ac:dyDescent="0.3">
      <c r="C41" s="8" t="s">
        <v>100</v>
      </c>
      <c r="D41" s="11" t="s">
        <v>137</v>
      </c>
      <c r="E41" s="53">
        <f xml:space="preserve"> INPUTS│Outcomes!E40</f>
        <v>11610.2</v>
      </c>
      <c r="F41" s="53">
        <f xml:space="preserve"> INPUTS│Outcomes!F40</f>
        <v>11645.4</v>
      </c>
      <c r="G41" s="53">
        <f xml:space="preserve"> INPUTS│Outcomes!G40</f>
        <v>11687.9</v>
      </c>
      <c r="H41" s="53">
        <f xml:space="preserve"> INPUTS│Outcomes!H40</f>
        <v>11762</v>
      </c>
      <c r="I41" s="53">
        <f xml:space="preserve"> INPUTS│Outcomes!I40</f>
        <v>11894.6</v>
      </c>
      <c r="J41" s="53">
        <f xml:space="preserve"> INPUTS│Outcomes!J40</f>
        <v>11935.02</v>
      </c>
      <c r="K41" s="53">
        <f xml:space="preserve"> INPUTS│Outcomes!K40</f>
        <v>11976.629000000001</v>
      </c>
      <c r="L41" s="53">
        <f xml:space="preserve"> INPUTS│Outcomes!L40</f>
        <v>12028.183999999999</v>
      </c>
    </row>
    <row r="42" spans="3:12" outlineLevel="1" x14ac:dyDescent="0.3">
      <c r="C42" s="8" t="s">
        <v>102</v>
      </c>
      <c r="D42" s="11" t="s">
        <v>137</v>
      </c>
      <c r="E42" s="53">
        <f xml:space="preserve"> INPUTS│Outcomes!E41</f>
        <v>31274.080000000002</v>
      </c>
      <c r="F42" s="53">
        <f xml:space="preserve"> INPUTS│Outcomes!F41</f>
        <v>31363.38</v>
      </c>
      <c r="G42" s="53">
        <f xml:space="preserve"> INPUTS│Outcomes!G41</f>
        <v>31404.9</v>
      </c>
      <c r="H42" s="53">
        <f xml:space="preserve"> INPUTS│Outcomes!H41</f>
        <v>31531.96</v>
      </c>
      <c r="I42" s="53">
        <f xml:space="preserve"> INPUTS│Outcomes!I41</f>
        <v>31604.71</v>
      </c>
      <c r="J42" s="53">
        <f xml:space="preserve"> INPUTS│Outcomes!J41</f>
        <v>31693.4</v>
      </c>
      <c r="K42" s="53">
        <f xml:space="preserve"> INPUTS│Outcomes!K41</f>
        <v>31790.1</v>
      </c>
      <c r="L42" s="53">
        <f xml:space="preserve"> INPUTS│Outcomes!L41</f>
        <v>31890.9</v>
      </c>
    </row>
    <row r="43" spans="3:12" outlineLevel="1" x14ac:dyDescent="0.3">
      <c r="C43" s="8" t="s">
        <v>104</v>
      </c>
      <c r="D43" s="11" t="s">
        <v>137</v>
      </c>
      <c r="E43" s="53">
        <f xml:space="preserve"> INPUTS│Outcomes!E42</f>
        <v>16548.7132016</v>
      </c>
      <c r="F43" s="53">
        <f xml:space="preserve"> INPUTS│Outcomes!F42</f>
        <v>16568.337314220302</v>
      </c>
      <c r="G43" s="53">
        <f xml:space="preserve"> INPUTS│Outcomes!G42</f>
        <v>16595.528297397599</v>
      </c>
      <c r="H43" s="53">
        <f xml:space="preserve"> INPUTS│Outcomes!H42</f>
        <v>16613.295909999601</v>
      </c>
      <c r="I43" s="53">
        <f xml:space="preserve"> INPUTS│Outcomes!I42</f>
        <v>16636.496523473201</v>
      </c>
      <c r="J43" s="53">
        <f xml:space="preserve"> INPUTS│Outcomes!J42</f>
        <v>16682.306095550899</v>
      </c>
      <c r="K43" s="53">
        <f xml:space="preserve"> INPUTS│Outcomes!K42</f>
        <v>16728.8</v>
      </c>
      <c r="L43" s="53">
        <f xml:space="preserve"> INPUTS│Outcomes!L42</f>
        <v>16789.314999999999</v>
      </c>
    </row>
    <row r="44" spans="3:12" outlineLevel="1" x14ac:dyDescent="0.3">
      <c r="C44" s="8" t="s">
        <v>106</v>
      </c>
      <c r="D44" s="11" t="s">
        <v>137</v>
      </c>
      <c r="E44" s="53">
        <f xml:space="preserve"> INPUTS│Outcomes!E43</f>
        <v>6677</v>
      </c>
      <c r="F44" s="53">
        <f xml:space="preserve"> INPUTS│Outcomes!F43</f>
        <v>6708.1</v>
      </c>
      <c r="G44" s="53">
        <f xml:space="preserve"> INPUTS│Outcomes!G43</f>
        <v>6734.1</v>
      </c>
      <c r="H44" s="53">
        <f xml:space="preserve"> INPUTS│Outcomes!H43</f>
        <v>6747.6</v>
      </c>
      <c r="I44" s="53">
        <f xml:space="preserve"> INPUTS│Outcomes!I43</f>
        <v>6768.3</v>
      </c>
      <c r="J44" s="53">
        <f xml:space="preserve"> INPUTS│Outcomes!J43</f>
        <v>6828.07</v>
      </c>
      <c r="K44" s="53">
        <f xml:space="preserve"> INPUTS│Outcomes!K43</f>
        <v>6848</v>
      </c>
      <c r="L44" s="53">
        <f xml:space="preserve"> INPUTS│Outcomes!L43</f>
        <v>6874.91</v>
      </c>
    </row>
    <row r="45" spans="3:12" outlineLevel="1" x14ac:dyDescent="0.3">
      <c r="C45" s="8" t="s">
        <v>108</v>
      </c>
      <c r="D45" s="11" t="s">
        <v>137</v>
      </c>
      <c r="E45" s="53">
        <f xml:space="preserve"> INPUTS│Outcomes!E44</f>
        <v>3270.5</v>
      </c>
      <c r="F45" s="53">
        <f xml:space="preserve"> INPUTS│Outcomes!F44</f>
        <v>3280.1</v>
      </c>
      <c r="G45" s="53">
        <f xml:space="preserve"> INPUTS│Outcomes!G44</f>
        <v>3291.8</v>
      </c>
      <c r="H45" s="53">
        <f xml:space="preserve"> INPUTS│Outcomes!H44</f>
        <v>3306.8</v>
      </c>
      <c r="I45" s="53">
        <f xml:space="preserve"> INPUTS│Outcomes!I44</f>
        <v>3324</v>
      </c>
      <c r="J45" s="53">
        <f xml:space="preserve"> INPUTS│Outcomes!J44</f>
        <v>3336.6</v>
      </c>
      <c r="K45" s="53">
        <f xml:space="preserve"> INPUTS│Outcomes!K44</f>
        <v>3348.6</v>
      </c>
      <c r="L45" s="53">
        <f xml:space="preserve"> INPUTS│Outcomes!L44</f>
        <v>3358.6</v>
      </c>
    </row>
    <row r="46" spans="3:12" outlineLevel="1" x14ac:dyDescent="0.3">
      <c r="C46" s="8" t="s">
        <v>112</v>
      </c>
      <c r="D46" s="11" t="s">
        <v>137</v>
      </c>
      <c r="E46" s="53">
        <f xml:space="preserve"> INPUTS│Outcomes!E45</f>
        <v>14397.9</v>
      </c>
      <c r="F46" s="53">
        <f xml:space="preserve"> INPUTS│Outcomes!F45</f>
        <v>14437.9</v>
      </c>
      <c r="G46" s="53">
        <f xml:space="preserve"> INPUTS│Outcomes!G45</f>
        <v>14497</v>
      </c>
      <c r="H46" s="53">
        <f xml:space="preserve"> INPUTS│Outcomes!H45</f>
        <v>14528.47</v>
      </c>
      <c r="I46" s="53">
        <f xml:space="preserve"> INPUTS│Outcomes!I45</f>
        <v>14557.06</v>
      </c>
      <c r="J46" s="53">
        <f xml:space="preserve"> INPUTS│Outcomes!J45</f>
        <v>14620.7</v>
      </c>
      <c r="K46" s="53">
        <f xml:space="preserve"> INPUTS│Outcomes!K45</f>
        <v>14652.4</v>
      </c>
      <c r="L46" s="53">
        <f xml:space="preserve"> INPUTS│Outcomes!L45</f>
        <v>14752.770929336401</v>
      </c>
    </row>
    <row r="47" spans="3:12" outlineLevel="1" x14ac:dyDescent="0.3">
      <c r="C47" s="8" t="s">
        <v>114</v>
      </c>
      <c r="D47" s="11" t="s">
        <v>137</v>
      </c>
      <c r="E47" s="53">
        <f xml:space="preserve"> INPUTS│Outcomes!E46</f>
        <v>8319.86</v>
      </c>
      <c r="F47" s="53">
        <f xml:space="preserve"> INPUTS│Outcomes!F46</f>
        <v>8333.9500000000007</v>
      </c>
      <c r="G47" s="53">
        <f xml:space="preserve"> INPUTS│Outcomes!G46</f>
        <v>8365.7900000000009</v>
      </c>
      <c r="H47" s="53">
        <f xml:space="preserve"> INPUTS│Outcomes!H46</f>
        <v>8386.09</v>
      </c>
      <c r="I47" s="53">
        <f xml:space="preserve"> INPUTS│Outcomes!I46</f>
        <v>8433.1</v>
      </c>
      <c r="J47" s="53">
        <f xml:space="preserve"> INPUTS│Outcomes!J46</f>
        <v>8490.91</v>
      </c>
      <c r="K47" s="53">
        <f xml:space="preserve"> INPUTS│Outcomes!K46</f>
        <v>8529.8700000000008</v>
      </c>
      <c r="L47" s="53">
        <f xml:space="preserve"> INPUTS│Outcomes!L46</f>
        <v>8579.5</v>
      </c>
    </row>
    <row r="48" spans="3:12" outlineLevel="1" x14ac:dyDescent="0.3">
      <c r="C48" s="8" t="s">
        <v>110</v>
      </c>
      <c r="D48" s="11" t="s">
        <v>137</v>
      </c>
      <c r="E48" s="53">
        <f xml:space="preserve"> INPUTS│Outcomes!E47</f>
        <v>3443.9</v>
      </c>
      <c r="F48" s="53">
        <f xml:space="preserve"> INPUTS│Outcomes!F47</f>
        <v>3458.6</v>
      </c>
      <c r="G48" s="53">
        <f xml:space="preserve"> INPUTS│Outcomes!G47</f>
        <v>3465.7</v>
      </c>
      <c r="H48" s="53">
        <f xml:space="preserve"> INPUTS│Outcomes!H47</f>
        <v>3484.3</v>
      </c>
      <c r="I48" s="53">
        <f xml:space="preserve"> INPUTS│Outcomes!I47</f>
        <v>3474.8</v>
      </c>
      <c r="J48" s="53">
        <f xml:space="preserve"> INPUTS│Outcomes!J47</f>
        <v>3481.05</v>
      </c>
      <c r="K48" s="53">
        <f xml:space="preserve"> INPUTS│Outcomes!K47</f>
        <v>3499.72</v>
      </c>
      <c r="L48" s="53">
        <f xml:space="preserve"> INPUTS│Outcomes!L47</f>
        <v>3519.4724805708202</v>
      </c>
    </row>
    <row r="49" spans="2:19" outlineLevel="1" x14ac:dyDescent="0.3"/>
    <row r="50" spans="2:19" outlineLevel="1" x14ac:dyDescent="0.3">
      <c r="C50" s="12" t="s">
        <v>424</v>
      </c>
      <c r="D50" s="13" t="s">
        <v>137</v>
      </c>
      <c r="E50" s="15">
        <f>SUM(E32:E48)</f>
        <v>339230.8272665781</v>
      </c>
      <c r="F50" s="15">
        <f t="shared" ref="F50:L50" si="5">SUM(F32:F48)</f>
        <v>339809.97888398485</v>
      </c>
      <c r="G50" s="15">
        <f t="shared" si="5"/>
        <v>340541.50041117665</v>
      </c>
      <c r="H50" s="15">
        <f t="shared" si="5"/>
        <v>341668.72381699906</v>
      </c>
      <c r="I50" s="15">
        <f t="shared" si="5"/>
        <v>342875.59597421001</v>
      </c>
      <c r="J50" s="15">
        <f t="shared" si="5"/>
        <v>343864.86581189581</v>
      </c>
      <c r="K50" s="15">
        <f t="shared" si="5"/>
        <v>345034.06106600893</v>
      </c>
      <c r="L50" s="15">
        <f t="shared" si="5"/>
        <v>346454.89612691116</v>
      </c>
    </row>
    <row r="51" spans="2:19" outlineLevel="1" x14ac:dyDescent="0.3"/>
    <row r="52" spans="2:19" ht="13.5" outlineLevel="1" x14ac:dyDescent="0.35">
      <c r="B52" s="31" t="s">
        <v>575</v>
      </c>
      <c r="C52" s="31"/>
      <c r="D52" s="28"/>
      <c r="E52" s="29"/>
      <c r="F52" s="29"/>
      <c r="G52" s="29"/>
      <c r="H52" s="29"/>
      <c r="I52" s="29"/>
      <c r="J52" s="29"/>
      <c r="K52" s="29"/>
      <c r="L52" s="29"/>
      <c r="M52" s="29"/>
      <c r="N52" s="29"/>
      <c r="O52" s="59"/>
      <c r="P52" s="29"/>
      <c r="Q52" s="29"/>
      <c r="R52" s="59"/>
      <c r="S52" s="29"/>
    </row>
    <row r="53" spans="2:19" outlineLevel="1" x14ac:dyDescent="0.3"/>
    <row r="54" spans="2:19" ht="30" customHeight="1" outlineLevel="1" x14ac:dyDescent="0.3">
      <c r="N54" s="51" t="s">
        <v>574</v>
      </c>
      <c r="O54" s="52" t="s">
        <v>576</v>
      </c>
      <c r="Q54" s="51" t="str">
        <f xml:space="preserve"> "Net change (from " &amp; Last_year &amp; ")"</f>
        <v>Net change (from 2018-19)</v>
      </c>
      <c r="R54" s="142" t="s">
        <v>576</v>
      </c>
    </row>
    <row r="55" spans="2:19" outlineLevel="1" x14ac:dyDescent="0.3">
      <c r="C55" s="8" t="s">
        <v>80</v>
      </c>
      <c r="D55" s="11" t="s">
        <v>145</v>
      </c>
      <c r="E55" s="233">
        <f t="shared" ref="E55:L64" si="6" xml:space="preserve"> IFERROR( E10 * 1000 / E32, 0 )</f>
        <v>4.9766789928922526</v>
      </c>
      <c r="F55" s="233">
        <f t="shared" si="6"/>
        <v>5.0614703307160802</v>
      </c>
      <c r="G55" s="233">
        <f t="shared" si="6"/>
        <v>5.0399949661276198</v>
      </c>
      <c r="H55" s="233">
        <f t="shared" si="6"/>
        <v>4.7832208470021644</v>
      </c>
      <c r="I55" s="233">
        <f t="shared" si="6"/>
        <v>4.819694033438843</v>
      </c>
      <c r="J55" s="233">
        <f t="shared" si="6"/>
        <v>4.7543379494607576</v>
      </c>
      <c r="K55" s="233">
        <f t="shared" si="6"/>
        <v>4.9564129941698409</v>
      </c>
      <c r="L55" s="233">
        <f t="shared" si="6"/>
        <v>4.7118241235888298</v>
      </c>
      <c r="N55" s="14">
        <f t="shared" ref="N55:N70" si="7" xml:space="preserve"> INDEX( E55:L55, 1, MATCH( Year, $E$2:$L$2, 0 ) ) - E55</f>
        <v>-0.26485486930342272</v>
      </c>
      <c r="O55" s="235">
        <f t="shared" ref="O55:O70" si="8" xml:space="preserve"> IF( E55 = 0, "-", N55 / E55 )</f>
        <v>-5.3219198923959404E-2</v>
      </c>
      <c r="Q55" s="14">
        <f t="shared" ref="Q55:Q71" si="9" xml:space="preserve"> INDEX( E55:L55, 1, MATCH( Year, $E$2:$L$2, 0 ) ) - INDEX( E55:L55, 1, MATCH( Last_year, $E$2:$L$2, 0 ) )</f>
        <v>-0.24458887058101109</v>
      </c>
      <c r="R55" s="235">
        <f t="shared" ref="R55:R71" si="10" xml:space="preserve"> IF( INDEX( $E55:$L55, 1, MATCH( Last_year, $E$2:$L$2, 0 ) ) = 0, "-", Q55 / INDEX( $E55:$L55, 1, MATCH( Last_year, $E$2:$L$2, 0 ) ) )</f>
        <v>-4.9347960080953213E-2</v>
      </c>
    </row>
    <row r="56" spans="2:19" outlineLevel="1" x14ac:dyDescent="0.3">
      <c r="C56" s="8" t="s">
        <v>82</v>
      </c>
      <c r="D56" s="11" t="s">
        <v>145</v>
      </c>
      <c r="E56" s="233">
        <f t="shared" si="6"/>
        <v>6.7877042647204657</v>
      </c>
      <c r="F56" s="233">
        <f t="shared" si="6"/>
        <v>6.7508734803646018</v>
      </c>
      <c r="G56" s="233">
        <f t="shared" si="6"/>
        <v>6.5817791188364563</v>
      </c>
      <c r="H56" s="233">
        <f t="shared" si="6"/>
        <v>6.5738784640238599</v>
      </c>
      <c r="I56" s="233">
        <f t="shared" si="6"/>
        <v>6.3645532513895144</v>
      </c>
      <c r="J56" s="233">
        <f t="shared" si="6"/>
        <v>6.2633257238105591</v>
      </c>
      <c r="K56" s="233">
        <f t="shared" si="6"/>
        <v>6.132887673452851</v>
      </c>
      <c r="L56" s="233">
        <f t="shared" si="6"/>
        <v>6.0558748656854187</v>
      </c>
      <c r="N56" s="14">
        <f t="shared" si="7"/>
        <v>-0.73182939903504707</v>
      </c>
      <c r="O56" s="235">
        <f t="shared" si="8"/>
        <v>-0.10781692461747014</v>
      </c>
      <c r="Q56" s="14">
        <f t="shared" si="9"/>
        <v>-7.7012807767432356E-2</v>
      </c>
      <c r="R56" s="235">
        <f t="shared" si="10"/>
        <v>-1.2557348490303216E-2</v>
      </c>
    </row>
    <row r="57" spans="2:19" outlineLevel="1" x14ac:dyDescent="0.3">
      <c r="C57" s="8" t="s">
        <v>85</v>
      </c>
      <c r="D57" s="11" t="s">
        <v>145</v>
      </c>
      <c r="E57" s="233">
        <f t="shared" si="6"/>
        <v>5.4838430187560885</v>
      </c>
      <c r="F57" s="233">
        <f t="shared" si="6"/>
        <v>5.4867260349812907</v>
      </c>
      <c r="G57" s="233">
        <f t="shared" si="6"/>
        <v>5.5021149105986158</v>
      </c>
      <c r="H57" s="233">
        <f t="shared" si="6"/>
        <v>4.4892569440049161</v>
      </c>
      <c r="I57" s="233">
        <f t="shared" si="6"/>
        <v>5.5195802363723656</v>
      </c>
      <c r="J57" s="233">
        <f t="shared" si="6"/>
        <v>5.5660492517336975</v>
      </c>
      <c r="K57" s="233">
        <f t="shared" si="6"/>
        <v>5.8599585931543228</v>
      </c>
      <c r="L57" s="233">
        <f t="shared" si="6"/>
        <v>4.8710490237979425</v>
      </c>
      <c r="N57" s="14">
        <f t="shared" si="7"/>
        <v>-0.61279399495814602</v>
      </c>
      <c r="O57" s="235">
        <f t="shared" si="8"/>
        <v>-0.11174535683502249</v>
      </c>
      <c r="Q57" s="14">
        <f t="shared" si="9"/>
        <v>-0.9889095693563803</v>
      </c>
      <c r="R57" s="235">
        <f t="shared" si="10"/>
        <v>-0.16875709164765035</v>
      </c>
    </row>
    <row r="58" spans="2:19" outlineLevel="1" x14ac:dyDescent="0.3">
      <c r="C58" s="8" t="s">
        <v>87</v>
      </c>
      <c r="D58" s="11" t="s">
        <v>145</v>
      </c>
      <c r="E58" s="233">
        <f t="shared" si="6"/>
        <v>7.473619163449011</v>
      </c>
      <c r="F58" s="233">
        <f t="shared" si="6"/>
        <v>7.5125912622496385</v>
      </c>
      <c r="G58" s="233">
        <f t="shared" si="6"/>
        <v>7.696981262876661</v>
      </c>
      <c r="H58" s="233">
        <f t="shared" si="6"/>
        <v>7.6504429244660459</v>
      </c>
      <c r="I58" s="233">
        <f t="shared" si="6"/>
        <v>7.8217008615880497</v>
      </c>
      <c r="J58" s="233">
        <f t="shared" si="6"/>
        <v>7.8422821770524198</v>
      </c>
      <c r="K58" s="233">
        <f t="shared" si="6"/>
        <v>7.6996654156567033</v>
      </c>
      <c r="L58" s="233">
        <f t="shared" si="6"/>
        <v>7.5591026022702117</v>
      </c>
      <c r="N58" s="14">
        <f t="shared" si="7"/>
        <v>8.5483438821200686E-2</v>
      </c>
      <c r="O58" s="235">
        <f t="shared" si="8"/>
        <v>1.1438024463337896E-2</v>
      </c>
      <c r="Q58" s="14">
        <f t="shared" si="9"/>
        <v>-0.14056281338649157</v>
      </c>
      <c r="R58" s="235">
        <f t="shared" si="10"/>
        <v>-1.8255704085617466E-2</v>
      </c>
    </row>
    <row r="59" spans="2:19" outlineLevel="1" x14ac:dyDescent="0.3">
      <c r="C59" s="8" t="s">
        <v>89</v>
      </c>
      <c r="D59" s="11" t="s">
        <v>145</v>
      </c>
      <c r="E59" s="233">
        <f t="shared" si="6"/>
        <v>9.4893333819986214</v>
      </c>
      <c r="F59" s="233">
        <f t="shared" si="6"/>
        <v>9.4943222013381039</v>
      </c>
      <c r="G59" s="233">
        <f t="shared" si="6"/>
        <v>9.5209513682576237</v>
      </c>
      <c r="H59" s="233">
        <f t="shared" si="6"/>
        <v>9.3333074305739672</v>
      </c>
      <c r="I59" s="233">
        <f t="shared" si="6"/>
        <v>9.2687113546228481</v>
      </c>
      <c r="J59" s="233">
        <f t="shared" si="6"/>
        <v>9.4375039600856478</v>
      </c>
      <c r="K59" s="233">
        <f t="shared" si="6"/>
        <v>9.0647717467195612</v>
      </c>
      <c r="L59" s="233">
        <f t="shared" si="6"/>
        <v>8.5953317154808886</v>
      </c>
      <c r="N59" s="14">
        <f t="shared" si="7"/>
        <v>-0.89400166651773283</v>
      </c>
      <c r="O59" s="235">
        <f t="shared" si="8"/>
        <v>-9.4211219116156736E-2</v>
      </c>
      <c r="Q59" s="14">
        <f t="shared" si="9"/>
        <v>-0.46944003123867262</v>
      </c>
      <c r="R59" s="235">
        <f t="shared" si="10"/>
        <v>-5.1787297502395212E-2</v>
      </c>
    </row>
    <row r="60" spans="2:19" outlineLevel="1" x14ac:dyDescent="0.3">
      <c r="C60" s="8" t="s">
        <v>91</v>
      </c>
      <c r="D60" s="11" t="s">
        <v>145</v>
      </c>
      <c r="E60" s="233">
        <f t="shared" si="6"/>
        <v>5.8397306046830337</v>
      </c>
      <c r="F60" s="233">
        <f t="shared" si="6"/>
        <v>5.8249432291345924</v>
      </c>
      <c r="G60" s="233">
        <f t="shared" si="6"/>
        <v>5.8198286703682536</v>
      </c>
      <c r="H60" s="233">
        <f t="shared" si="6"/>
        <v>5.7061419680173451</v>
      </c>
      <c r="I60" s="233">
        <f t="shared" si="6"/>
        <v>5.6948410275031502</v>
      </c>
      <c r="J60" s="233">
        <f t="shared" si="6"/>
        <v>5.6194811605330992</v>
      </c>
      <c r="K60" s="233">
        <f t="shared" si="6"/>
        <v>5.6632236631823778</v>
      </c>
      <c r="L60" s="233">
        <f t="shared" si="6"/>
        <v>5.7878107573147872</v>
      </c>
      <c r="N60" s="14">
        <f t="shared" si="7"/>
        <v>-5.1919847368246508E-2</v>
      </c>
      <c r="O60" s="235">
        <f t="shared" si="8"/>
        <v>-8.8907949497893986E-3</v>
      </c>
      <c r="Q60" s="14">
        <f t="shared" si="9"/>
        <v>0.12458709413240943</v>
      </c>
      <c r="R60" s="235">
        <f t="shared" si="10"/>
        <v>2.1999324332247768E-2</v>
      </c>
    </row>
    <row r="61" spans="2:19" outlineLevel="1" x14ac:dyDescent="0.3">
      <c r="C61" s="8" t="s">
        <v>94</v>
      </c>
      <c r="D61" s="11" t="s">
        <v>145</v>
      </c>
      <c r="E61" s="233">
        <f t="shared" si="6"/>
        <v>5.9168902086541761</v>
      </c>
      <c r="F61" s="233">
        <f t="shared" si="6"/>
        <v>6.150577539158216</v>
      </c>
      <c r="G61" s="233">
        <f t="shared" si="6"/>
        <v>5.9226467103898983</v>
      </c>
      <c r="H61" s="233">
        <f t="shared" si="6"/>
        <v>6.0639916978743145</v>
      </c>
      <c r="I61" s="233">
        <f t="shared" si="6"/>
        <v>6.3524313140231197</v>
      </c>
      <c r="J61" s="233">
        <f t="shared" si="6"/>
        <v>6.3775425403229313</v>
      </c>
      <c r="K61" s="233">
        <f t="shared" si="6"/>
        <v>7.3103922556333396</v>
      </c>
      <c r="L61" s="233">
        <f t="shared" si="6"/>
        <v>6.7367274863352753</v>
      </c>
      <c r="N61" s="14">
        <f t="shared" si="7"/>
        <v>0.81983727768109915</v>
      </c>
      <c r="O61" s="235">
        <f t="shared" si="8"/>
        <v>0.13855881193840419</v>
      </c>
      <c r="Q61" s="14">
        <f t="shared" si="9"/>
        <v>-0.57366476929806431</v>
      </c>
      <c r="R61" s="235">
        <f t="shared" si="10"/>
        <v>-7.8472501780735782E-2</v>
      </c>
    </row>
    <row r="62" spans="2:19" outlineLevel="1" x14ac:dyDescent="0.3">
      <c r="C62" s="8" t="s">
        <v>96</v>
      </c>
      <c r="D62" s="11" t="s">
        <v>145</v>
      </c>
      <c r="E62" s="233">
        <f t="shared" si="6"/>
        <v>20.699138618517676</v>
      </c>
      <c r="F62" s="233">
        <f t="shared" si="6"/>
        <v>20.707234668872953</v>
      </c>
      <c r="G62" s="233">
        <f t="shared" si="6"/>
        <v>20.995430485624475</v>
      </c>
      <c r="H62" s="233">
        <f t="shared" si="6"/>
        <v>20.547870724257592</v>
      </c>
      <c r="I62" s="233">
        <f t="shared" si="6"/>
        <v>21.583436888475568</v>
      </c>
      <c r="J62" s="233">
        <f t="shared" si="6"/>
        <v>22.079998474282117</v>
      </c>
      <c r="K62" s="233">
        <f t="shared" si="6"/>
        <v>21.882411155978417</v>
      </c>
      <c r="L62" s="233">
        <f t="shared" si="6"/>
        <v>18.809424728782279</v>
      </c>
      <c r="N62" s="14">
        <f t="shared" si="7"/>
        <v>-1.8897138897353969</v>
      </c>
      <c r="O62" s="235">
        <f t="shared" si="8"/>
        <v>-9.1294325071326315E-2</v>
      </c>
      <c r="Q62" s="14">
        <f t="shared" si="9"/>
        <v>-3.0729864271961382</v>
      </c>
      <c r="R62" s="235">
        <f t="shared" si="10"/>
        <v>-0.14043180183809764</v>
      </c>
    </row>
    <row r="63" spans="2:19" outlineLevel="1" x14ac:dyDescent="0.3">
      <c r="C63" s="8" t="s">
        <v>98</v>
      </c>
      <c r="D63" s="11" t="s">
        <v>145</v>
      </c>
      <c r="E63" s="233">
        <f t="shared" si="6"/>
        <v>11.000088558835602</v>
      </c>
      <c r="F63" s="233">
        <f t="shared" si="6"/>
        <v>10.869482615909197</v>
      </c>
      <c r="G63" s="233">
        <f t="shared" si="6"/>
        <v>10.873936212325514</v>
      </c>
      <c r="H63" s="233">
        <f t="shared" si="6"/>
        <v>10.789015024889032</v>
      </c>
      <c r="I63" s="233">
        <f t="shared" si="6"/>
        <v>10.454960224634464</v>
      </c>
      <c r="J63" s="233">
        <f t="shared" si="6"/>
        <v>10.771790542241561</v>
      </c>
      <c r="K63" s="233">
        <f t="shared" si="6"/>
        <v>10.805577297917344</v>
      </c>
      <c r="L63" s="233">
        <f t="shared" si="6"/>
        <v>10.5257932123475</v>
      </c>
      <c r="N63" s="14">
        <f t="shared" si="7"/>
        <v>-0.4742953464881019</v>
      </c>
      <c r="O63" s="235">
        <f t="shared" si="8"/>
        <v>-4.311741164184843E-2</v>
      </c>
      <c r="Q63" s="14">
        <f t="shared" si="9"/>
        <v>-0.27978408556984391</v>
      </c>
      <c r="R63" s="235">
        <f t="shared" si="10"/>
        <v>-2.5892562503233327E-2</v>
      </c>
    </row>
    <row r="64" spans="2:19" outlineLevel="1" x14ac:dyDescent="0.3">
      <c r="C64" s="8" t="s">
        <v>100</v>
      </c>
      <c r="D64" s="11" t="s">
        <v>145</v>
      </c>
      <c r="E64" s="233">
        <f t="shared" si="6"/>
        <v>5.9017071196017294</v>
      </c>
      <c r="F64" s="233">
        <f t="shared" si="6"/>
        <v>5.9534236694317073</v>
      </c>
      <c r="G64" s="233">
        <f t="shared" si="6"/>
        <v>5.8676066701460483</v>
      </c>
      <c r="H64" s="233">
        <f t="shared" si="6"/>
        <v>5.8093861588165279</v>
      </c>
      <c r="I64" s="233">
        <f t="shared" si="6"/>
        <v>5.7463050459872544</v>
      </c>
      <c r="J64" s="233">
        <f t="shared" si="6"/>
        <v>5.673220488947651</v>
      </c>
      <c r="K64" s="233">
        <f t="shared" si="6"/>
        <v>5.543296030961633</v>
      </c>
      <c r="L64" s="233">
        <f t="shared" si="6"/>
        <v>5.1005205773373605</v>
      </c>
      <c r="N64" s="14">
        <f t="shared" si="7"/>
        <v>-0.80118654226436892</v>
      </c>
      <c r="O64" s="235">
        <f t="shared" si="8"/>
        <v>-0.13575504951835635</v>
      </c>
      <c r="Q64" s="14">
        <f t="shared" si="9"/>
        <v>-0.44277545362427251</v>
      </c>
      <c r="R64" s="235">
        <f t="shared" si="10"/>
        <v>-7.9875844831520076E-2</v>
      </c>
    </row>
    <row r="65" spans="2:19" outlineLevel="1" x14ac:dyDescent="0.3">
      <c r="C65" s="8" t="s">
        <v>102</v>
      </c>
      <c r="D65" s="11" t="s">
        <v>145</v>
      </c>
      <c r="E65" s="233">
        <f t="shared" ref="E65:L71" si="11" xml:space="preserve"> IFERROR( E20 * 1000 / E42, 0 )</f>
        <v>8.4613200452259498</v>
      </c>
      <c r="F65" s="233">
        <f t="shared" si="11"/>
        <v>8.999986608586191</v>
      </c>
      <c r="G65" s="233">
        <f t="shared" si="11"/>
        <v>9.1837730970447602</v>
      </c>
      <c r="H65" s="233">
        <f t="shared" si="11"/>
        <v>9.0422840623914276</v>
      </c>
      <c r="I65" s="233">
        <f t="shared" si="11"/>
        <v>9.3391143282124727</v>
      </c>
      <c r="J65" s="233">
        <f t="shared" si="11"/>
        <v>9.4745278196722342</v>
      </c>
      <c r="K65" s="233">
        <f t="shared" si="11"/>
        <v>9.1151018713373038</v>
      </c>
      <c r="L65" s="233">
        <f t="shared" si="11"/>
        <v>8.4898826938092053</v>
      </c>
      <c r="N65" s="14">
        <f t="shared" si="7"/>
        <v>2.8562648583255523E-2</v>
      </c>
      <c r="O65" s="235">
        <f t="shared" si="8"/>
        <v>3.3756728773509936E-3</v>
      </c>
      <c r="Q65" s="14">
        <f t="shared" si="9"/>
        <v>-0.62521917752809841</v>
      </c>
      <c r="R65" s="235">
        <f t="shared" si="10"/>
        <v>-6.8591573232342898E-2</v>
      </c>
    </row>
    <row r="66" spans="2:19" outlineLevel="1" x14ac:dyDescent="0.3">
      <c r="C66" s="8" t="s">
        <v>104</v>
      </c>
      <c r="D66" s="11" t="s">
        <v>145</v>
      </c>
      <c r="E66" s="233">
        <f t="shared" si="11"/>
        <v>11.45032498495886</v>
      </c>
      <c r="F66" s="233">
        <f t="shared" si="11"/>
        <v>10.908860065282333</v>
      </c>
      <c r="G66" s="233">
        <f t="shared" si="11"/>
        <v>11.056321579090312</v>
      </c>
      <c r="H66" s="233">
        <f t="shared" si="11"/>
        <v>10.88826684241034</v>
      </c>
      <c r="I66" s="233">
        <f t="shared" si="11"/>
        <v>10.398034826006896</v>
      </c>
      <c r="J66" s="233">
        <f t="shared" si="11"/>
        <v>10.622032648547224</v>
      </c>
      <c r="K66" s="233">
        <f t="shared" si="11"/>
        <v>11.720889107515424</v>
      </c>
      <c r="L66" s="233">
        <f t="shared" si="11"/>
        <v>9.656230861999493</v>
      </c>
      <c r="N66" s="14">
        <f t="shared" si="7"/>
        <v>-1.7940941229593665</v>
      </c>
      <c r="O66" s="235">
        <f t="shared" si="8"/>
        <v>-0.15668499586833454</v>
      </c>
      <c r="Q66" s="14">
        <f t="shared" si="9"/>
        <v>-2.0646582455159308</v>
      </c>
      <c r="R66" s="235">
        <f t="shared" si="10"/>
        <v>-0.17615201599271796</v>
      </c>
    </row>
    <row r="67" spans="2:19" outlineLevel="1" x14ac:dyDescent="0.3">
      <c r="C67" s="8" t="s">
        <v>106</v>
      </c>
      <c r="D67" s="11" t="s">
        <v>145</v>
      </c>
      <c r="E67" s="233">
        <f t="shared" si="11"/>
        <v>6.3052268983076232</v>
      </c>
      <c r="F67" s="233">
        <f t="shared" si="11"/>
        <v>6.5125542019309339</v>
      </c>
      <c r="G67" s="233">
        <f t="shared" si="11"/>
        <v>6.6998077080622194</v>
      </c>
      <c r="H67" s="233">
        <f t="shared" si="11"/>
        <v>6.5535626092563577</v>
      </c>
      <c r="I67" s="233">
        <f t="shared" si="11"/>
        <v>6.8584430359174382</v>
      </c>
      <c r="J67" s="233">
        <f t="shared" si="11"/>
        <v>6.8306271025340983</v>
      </c>
      <c r="K67" s="233">
        <f t="shared" si="11"/>
        <v>6.0908294392523361</v>
      </c>
      <c r="L67" s="233">
        <f t="shared" si="11"/>
        <v>5.4124344900515062</v>
      </c>
      <c r="N67" s="14">
        <f t="shared" si="7"/>
        <v>-0.89279240825611694</v>
      </c>
      <c r="O67" s="235">
        <f t="shared" si="8"/>
        <v>-0.14159560356118986</v>
      </c>
      <c r="Q67" s="14">
        <f t="shared" si="9"/>
        <v>-0.67839494920082988</v>
      </c>
      <c r="R67" s="235">
        <f t="shared" si="10"/>
        <v>-0.11137973177001398</v>
      </c>
    </row>
    <row r="68" spans="2:19" outlineLevel="1" x14ac:dyDescent="0.3">
      <c r="C68" s="8" t="s">
        <v>108</v>
      </c>
      <c r="D68" s="11" t="s">
        <v>145</v>
      </c>
      <c r="E68" s="233">
        <f t="shared" si="11"/>
        <v>10.41736737501911</v>
      </c>
      <c r="F68" s="233">
        <f t="shared" si="11"/>
        <v>8.9936282430413712</v>
      </c>
      <c r="G68" s="233">
        <f t="shared" si="11"/>
        <v>8.7642019563764499</v>
      </c>
      <c r="H68" s="233">
        <f t="shared" si="11"/>
        <v>8.5369541550743921</v>
      </c>
      <c r="I68" s="233">
        <f t="shared" si="11"/>
        <v>9.1365824308062571</v>
      </c>
      <c r="J68" s="233">
        <f t="shared" si="11"/>
        <v>9.8513456812323934</v>
      </c>
      <c r="K68" s="233">
        <f t="shared" si="11"/>
        <v>8.3975392701427456</v>
      </c>
      <c r="L68" s="233">
        <f t="shared" si="11"/>
        <v>7.0207824688858453</v>
      </c>
      <c r="N68" s="14">
        <f t="shared" si="7"/>
        <v>-3.3965849061332642</v>
      </c>
      <c r="O68" s="235">
        <f t="shared" si="8"/>
        <v>-0.3260502182421145</v>
      </c>
      <c r="Q68" s="14">
        <f t="shared" si="9"/>
        <v>-1.3767568012569003</v>
      </c>
      <c r="R68" s="235">
        <f t="shared" si="10"/>
        <v>-0.16394764668168052</v>
      </c>
    </row>
    <row r="69" spans="2:19" outlineLevel="1" x14ac:dyDescent="0.3">
      <c r="C69" s="8" t="s">
        <v>112</v>
      </c>
      <c r="D69" s="11" t="s">
        <v>145</v>
      </c>
      <c r="E69" s="233">
        <f t="shared" si="11"/>
        <v>6.4703880427006721</v>
      </c>
      <c r="F69" s="233">
        <f t="shared" si="11"/>
        <v>6.4107792343122343</v>
      </c>
      <c r="G69" s="233">
        <f t="shared" si="11"/>
        <v>6.3773549802832585</v>
      </c>
      <c r="H69" s="233">
        <f t="shared" si="11"/>
        <v>6.064489943130364</v>
      </c>
      <c r="I69" s="233">
        <f t="shared" si="11"/>
        <v>6.0881240114193806</v>
      </c>
      <c r="J69" s="233">
        <f t="shared" si="11"/>
        <v>5.9976608507116618</v>
      </c>
      <c r="K69" s="233">
        <f t="shared" si="11"/>
        <v>5.9294040566733095</v>
      </c>
      <c r="L69" s="233">
        <f t="shared" si="11"/>
        <v>5.8565538758616853</v>
      </c>
      <c r="N69" s="14">
        <f t="shared" si="7"/>
        <v>-0.61383416683898684</v>
      </c>
      <c r="O69" s="235">
        <f t="shared" si="8"/>
        <v>-9.4868215443656589E-2</v>
      </c>
      <c r="Q69" s="14">
        <f t="shared" si="9"/>
        <v>-7.2850180811624199E-2</v>
      </c>
      <c r="R69" s="235">
        <f t="shared" si="10"/>
        <v>-1.2286256783198002E-2</v>
      </c>
    </row>
    <row r="70" spans="2:19" outlineLevel="1" x14ac:dyDescent="0.3">
      <c r="C70" s="8" t="s">
        <v>114</v>
      </c>
      <c r="D70" s="11" t="s">
        <v>145</v>
      </c>
      <c r="E70" s="233">
        <f t="shared" si="11"/>
        <v>9.328281966283086</v>
      </c>
      <c r="F70" s="233">
        <f t="shared" si="11"/>
        <v>9.5506207010541821</v>
      </c>
      <c r="G70" s="233">
        <f t="shared" si="11"/>
        <v>9.8912634981124192</v>
      </c>
      <c r="H70" s="233">
        <f t="shared" si="11"/>
        <v>9.911604051710702</v>
      </c>
      <c r="I70" s="233">
        <f t="shared" si="11"/>
        <v>9.9809085626875049</v>
      </c>
      <c r="J70" s="233">
        <f t="shared" si="11"/>
        <v>10.222696978297968</v>
      </c>
      <c r="K70" s="233">
        <f t="shared" si="11"/>
        <v>9.8172656793128148</v>
      </c>
      <c r="L70" s="233">
        <f t="shared" si="11"/>
        <v>9.5215338889212653</v>
      </c>
      <c r="N70" s="14">
        <f t="shared" si="7"/>
        <v>0.19325192263817925</v>
      </c>
      <c r="O70" s="235">
        <f t="shared" si="8"/>
        <v>2.0716775429461178E-2</v>
      </c>
      <c r="Q70" s="14">
        <f t="shared" si="9"/>
        <v>-0.29573179039154951</v>
      </c>
      <c r="R70" s="235">
        <f t="shared" si="10"/>
        <v>-3.0123641353082951E-2</v>
      </c>
    </row>
    <row r="71" spans="2:19" outlineLevel="1" x14ac:dyDescent="0.3">
      <c r="C71" s="8" t="s">
        <v>110</v>
      </c>
      <c r="D71" s="11" t="s">
        <v>145</v>
      </c>
      <c r="E71" s="233">
        <f t="shared" si="11"/>
        <v>6.8933476581782278</v>
      </c>
      <c r="F71" s="233">
        <f t="shared" si="11"/>
        <v>6.9189845602266811</v>
      </c>
      <c r="G71" s="233">
        <f t="shared" si="11"/>
        <v>6.9711746544709587</v>
      </c>
      <c r="H71" s="233">
        <f t="shared" si="11"/>
        <v>6.9368309273024709</v>
      </c>
      <c r="I71" s="233">
        <f t="shared" si="11"/>
        <v>7.0047196960976166</v>
      </c>
      <c r="J71" s="233">
        <f t="shared" si="11"/>
        <v>6.9404346389738727</v>
      </c>
      <c r="K71" s="233">
        <f t="shared" si="11"/>
        <v>6.9005520441635335</v>
      </c>
      <c r="L71" s="233">
        <f t="shared" si="11"/>
        <v>6.8049970932335775</v>
      </c>
      <c r="N71" s="14">
        <f xml:space="preserve"> INDEX( E71:L71, 1, MATCH( Year, $E$2:$L$2, 0 ) ) - E71</f>
        <v>-8.8350564944650323E-2</v>
      </c>
      <c r="O71" s="235">
        <f xml:space="preserve"> IF( E71 = 0, "-", N71 / E71 )</f>
        <v>-1.2816786462210667E-2</v>
      </c>
      <c r="Q71" s="14">
        <f t="shared" si="9"/>
        <v>-9.5554950929956028E-2</v>
      </c>
      <c r="R71" s="235">
        <f t="shared" si="10"/>
        <v>-1.3847435729548063E-2</v>
      </c>
    </row>
    <row r="72" spans="2:19" outlineLevel="1" x14ac:dyDescent="0.3"/>
    <row r="73" spans="2:19" outlineLevel="1" x14ac:dyDescent="0.3">
      <c r="C73" s="12" t="s">
        <v>424</v>
      </c>
      <c r="D73" s="13" t="s">
        <v>145</v>
      </c>
      <c r="E73" s="14">
        <f t="shared" ref="E73:L73" si="12" xml:space="preserve"> IFERROR( E28 * 1000 / E50, 0 )</f>
        <v>9.1289319803514868</v>
      </c>
      <c r="F73" s="14">
        <f t="shared" si="12"/>
        <v>9.1455141668726547</v>
      </c>
      <c r="G73" s="14">
        <f t="shared" si="12"/>
        <v>9.1937804008259985</v>
      </c>
      <c r="H73" s="14">
        <f t="shared" si="12"/>
        <v>9.0356936385849362</v>
      </c>
      <c r="I73" s="14">
        <f t="shared" si="12"/>
        <v>9.1150576035580357</v>
      </c>
      <c r="J73" s="14">
        <f t="shared" si="12"/>
        <v>9.2339260384328696</v>
      </c>
      <c r="K73" s="14">
        <f t="shared" si="12"/>
        <v>9.1861300736914746</v>
      </c>
      <c r="L73" s="14">
        <f t="shared" si="12"/>
        <v>8.5264458490609751</v>
      </c>
      <c r="N73" s="14">
        <f xml:space="preserve"> INDEX( E73:L73, 1, MATCH( Year, $E$2:$L$2, 0 ) ) - E73</f>
        <v>-0.60248613129051165</v>
      </c>
      <c r="O73" s="235">
        <f xml:space="preserve"> IF( E73 = 0, "-", N73 / E73 )</f>
        <v>-6.59974389761325E-2</v>
      </c>
      <c r="Q73" s="14">
        <f xml:space="preserve"> INDEX( E73:L73, 1, MATCH( Year, $E$2:$L$2, 0 ) ) - INDEX( E73:L73, 1, MATCH( Last_year, $E$2:$L$2, 0 ) )</f>
        <v>-0.65968422463049947</v>
      </c>
      <c r="R73" s="235">
        <f xml:space="preserve"> IF( INDEX( $E73:$L73, 1, MATCH( Last_year, $E$2:$L$2, 0 ) ) = 0, "-", Q73 / INDEX( $E73:$L73, 1, MATCH( Last_year, $E$2:$L$2, 0 ) ) )</f>
        <v>-7.1813072462341407E-2</v>
      </c>
    </row>
    <row r="75" spans="2:19" ht="13.5" x14ac:dyDescent="0.35">
      <c r="B75" s="9" t="s">
        <v>163</v>
      </c>
      <c r="C75" s="9"/>
      <c r="D75" s="10"/>
      <c r="E75" s="9"/>
      <c r="F75" s="9"/>
      <c r="G75" s="9"/>
      <c r="H75" s="9"/>
      <c r="I75" s="9"/>
      <c r="J75" s="9"/>
      <c r="K75" s="9"/>
      <c r="L75" s="9"/>
      <c r="M75" s="9"/>
      <c r="N75" s="9"/>
      <c r="O75" s="56"/>
      <c r="P75" s="9"/>
      <c r="Q75" s="9"/>
      <c r="R75" s="56"/>
      <c r="S75" s="9"/>
    </row>
    <row r="76" spans="2:19" outlineLevel="1" x14ac:dyDescent="0.3"/>
    <row r="77" spans="2:19" ht="13.5" outlineLevel="1" x14ac:dyDescent="0.35">
      <c r="B77" s="31" t="s">
        <v>429</v>
      </c>
      <c r="C77" s="31"/>
      <c r="D77" s="28"/>
      <c r="E77" s="28"/>
      <c r="F77" s="28"/>
      <c r="G77" s="28"/>
      <c r="H77" s="28"/>
      <c r="I77" s="28"/>
      <c r="J77" s="28"/>
      <c r="K77" s="28"/>
      <c r="L77" s="28"/>
      <c r="M77" s="28"/>
      <c r="N77" s="28"/>
      <c r="O77" s="57"/>
      <c r="P77" s="28"/>
      <c r="Q77" s="28"/>
      <c r="R77" s="57"/>
      <c r="S77" s="28"/>
    </row>
    <row r="78" spans="2:19" s="294" customFormat="1" outlineLevel="1" x14ac:dyDescent="0.3">
      <c r="D78" s="295"/>
      <c r="O78" s="296"/>
      <c r="R78" s="296"/>
    </row>
    <row r="79" spans="2:19" s="294" customFormat="1" ht="37.5" outlineLevel="1" x14ac:dyDescent="0.3">
      <c r="D79" s="295"/>
      <c r="N79" s="297" t="s">
        <v>574</v>
      </c>
      <c r="O79" s="298" t="s">
        <v>576</v>
      </c>
      <c r="Q79" s="297" t="str">
        <f xml:space="preserve"> "Net change (from " &amp; Last_year &amp; ")"</f>
        <v>Net change (from 2018-19)</v>
      </c>
      <c r="R79" s="298" t="s">
        <v>576</v>
      </c>
    </row>
    <row r="80" spans="2:19" s="294" customFormat="1" outlineLevel="1" x14ac:dyDescent="0.3">
      <c r="C80" s="294" t="s">
        <v>80</v>
      </c>
      <c r="D80" s="295" t="s">
        <v>430</v>
      </c>
      <c r="E80" s="233">
        <f xml:space="preserve"> INPUTS│Outcomes!E55</f>
        <v>136.19167509276386</v>
      </c>
      <c r="F80" s="233">
        <f xml:space="preserve"> INPUTS│Outcomes!F55</f>
        <v>135.10576715463714</v>
      </c>
      <c r="G80" s="233">
        <f xml:space="preserve"> INPUTS│Outcomes!G55</f>
        <v>133.33767235011169</v>
      </c>
      <c r="H80" s="233">
        <f xml:space="preserve"> INPUTS│Outcomes!H55</f>
        <v>135.40023021010438</v>
      </c>
      <c r="I80" s="233">
        <f xml:space="preserve"> INPUTS│Outcomes!I55</f>
        <v>135.58528926955751</v>
      </c>
      <c r="J80" s="233">
        <f xml:space="preserve"> INPUTS│Outcomes!J55</f>
        <v>136.59845942854324</v>
      </c>
      <c r="K80" s="233">
        <f xml:space="preserve"> INPUTS│Outcomes!K55</f>
        <v>135.70045327267459</v>
      </c>
      <c r="L80" s="233">
        <f xml:space="preserve"> INPUTS│Outcomes!L55</f>
        <v>134.821642266841</v>
      </c>
      <c r="N80" s="54">
        <f t="shared" ref="N80:N95" si="13" xml:space="preserve"> INDEX( E80:L80, 1, MATCH( Year, $E$2:$L$2, 0 ) ) - E80</f>
        <v>-1.3700328259228627</v>
      </c>
      <c r="O80" s="235">
        <f t="shared" ref="O80:O95" si="14" xml:space="preserve"> IF( E80 = 0, "-", N80 / E80 )</f>
        <v>-1.0059593033052101E-2</v>
      </c>
      <c r="Q80" s="54">
        <f t="shared" ref="Q80:Q96" si="15" xml:space="preserve"> INDEX( E80:L80, 1, MATCH( Year, $E$2:$L$2, 0 ) ) - INDEX( E80:L80, 1, MATCH( Last_year, $E$2:$L$2, 0 ) )</f>
        <v>-0.87881100583359739</v>
      </c>
      <c r="R80" s="235">
        <f t="shared" ref="R80:R96" si="16" xml:space="preserve"> IF( INDEX( $E80:$L80, 1, MATCH( Last_year, $E$2:$L$2, 0 ) ) = 0, "-", Q80 / INDEX( $E80:$L80, 1, MATCH( Last_year, $E$2:$L$2, 0 ) ) )</f>
        <v>-6.4761095828304036E-3</v>
      </c>
    </row>
    <row r="81" spans="3:18" s="294" customFormat="1" outlineLevel="1" x14ac:dyDescent="0.3">
      <c r="C81" s="294" t="s">
        <v>82</v>
      </c>
      <c r="D81" s="295" t="s">
        <v>430</v>
      </c>
      <c r="E81" s="233">
        <f xml:space="preserve"> INPUTS│Outcomes!E56</f>
        <v>144.33444084278767</v>
      </c>
      <c r="F81" s="233">
        <f xml:space="preserve"> INPUTS│Outcomes!F56</f>
        <v>144.6672584290356</v>
      </c>
      <c r="G81" s="233">
        <f xml:space="preserve"> INPUTS│Outcomes!G56</f>
        <v>143.8910088556398</v>
      </c>
      <c r="H81" s="233">
        <f xml:space="preserve"> INPUTS│Outcomes!H56</f>
        <v>142.61586153341742</v>
      </c>
      <c r="I81" s="233">
        <f xml:space="preserve"> INPUTS│Outcomes!I56</f>
        <v>145.22970274317478</v>
      </c>
      <c r="J81" s="233">
        <f xml:space="preserve"> INPUTS│Outcomes!J56</f>
        <v>150.97949340615358</v>
      </c>
      <c r="K81" s="233">
        <f xml:space="preserve"> INPUTS│Outcomes!K56</f>
        <v>157.33342721582878</v>
      </c>
      <c r="L81" s="233">
        <f xml:space="preserve"> INPUTS│Outcomes!L56</f>
        <v>159.67466470701106</v>
      </c>
      <c r="N81" s="54">
        <f t="shared" si="13"/>
        <v>15.34022386422339</v>
      </c>
      <c r="O81" s="235">
        <f t="shared" si="14"/>
        <v>0.10628249068378841</v>
      </c>
      <c r="Q81" s="54">
        <f t="shared" si="15"/>
        <v>2.3412374911822837</v>
      </c>
      <c r="R81" s="235">
        <f t="shared" si="16"/>
        <v>1.4880737886492438E-2</v>
      </c>
    </row>
    <row r="82" spans="3:18" s="294" customFormat="1" outlineLevel="1" x14ac:dyDescent="0.3">
      <c r="C82" s="294" t="s">
        <v>85</v>
      </c>
      <c r="D82" s="295" t="s">
        <v>430</v>
      </c>
      <c r="E82" s="233">
        <f xml:space="preserve"> INPUTS│Outcomes!E57</f>
        <v>135.5031278875602</v>
      </c>
      <c r="F82" s="233">
        <f xml:space="preserve"> INPUTS│Outcomes!F57</f>
        <v>132.9139624929941</v>
      </c>
      <c r="G82" s="233">
        <f xml:space="preserve"> INPUTS│Outcomes!G57</f>
        <v>129.4240425458367</v>
      </c>
      <c r="H82" s="233">
        <f xml:space="preserve"> INPUTS│Outcomes!H57</f>
        <v>134.86242957727964</v>
      </c>
      <c r="I82" s="233">
        <f xml:space="preserve"> INPUTS│Outcomes!I57</f>
        <v>136.40477124178662</v>
      </c>
      <c r="J82" s="233">
        <f xml:space="preserve"> INPUTS│Outcomes!J57</f>
        <v>136.56748222186556</v>
      </c>
      <c r="K82" s="233">
        <f xml:space="preserve"> INPUTS│Outcomes!K57</f>
        <v>141.68737012013418</v>
      </c>
      <c r="L82" s="233">
        <f xml:space="preserve"> INPUTS│Outcomes!L57</f>
        <v>141.70814867302039</v>
      </c>
      <c r="N82" s="54">
        <f t="shared" si="13"/>
        <v>6.2050207854601922</v>
      </c>
      <c r="O82" s="235">
        <f t="shared" si="14"/>
        <v>4.5792454256916394E-2</v>
      </c>
      <c r="Q82" s="54">
        <f t="shared" si="15"/>
        <v>2.077855288621322E-2</v>
      </c>
      <c r="R82" s="235">
        <f t="shared" si="16"/>
        <v>1.466507061892352E-4</v>
      </c>
    </row>
    <row r="83" spans="3:18" s="294" customFormat="1" outlineLevel="1" x14ac:dyDescent="0.3">
      <c r="C83" s="294" t="s">
        <v>87</v>
      </c>
      <c r="D83" s="295" t="s">
        <v>430</v>
      </c>
      <c r="E83" s="233">
        <f xml:space="preserve"> INPUTS│Outcomes!E58</f>
        <v>144.27044443272976</v>
      </c>
      <c r="F83" s="233">
        <f xml:space="preserve"> INPUTS│Outcomes!F58</f>
        <v>145.99097172385615</v>
      </c>
      <c r="G83" s="233">
        <f xml:space="preserve"> INPUTS│Outcomes!G58</f>
        <v>145.71290305093856</v>
      </c>
      <c r="H83" s="233">
        <f xml:space="preserve"> INPUTS│Outcomes!H58</f>
        <v>147.20681779058347</v>
      </c>
      <c r="I83" s="233">
        <f xml:space="preserve"> INPUTS│Outcomes!I58</f>
        <v>145.63022838356679</v>
      </c>
      <c r="J83" s="233">
        <f xml:space="preserve"> INPUTS│Outcomes!J58</f>
        <v>147.97042237612121</v>
      </c>
      <c r="K83" s="233">
        <f xml:space="preserve"> INPUTS│Outcomes!K58</f>
        <v>152.13824624476933</v>
      </c>
      <c r="L83" s="233">
        <f xml:space="preserve"> INPUTS│Outcomes!L58</f>
        <v>148.86190071182247</v>
      </c>
      <c r="N83" s="54">
        <f t="shared" si="13"/>
        <v>4.5914562790927107</v>
      </c>
      <c r="O83" s="235">
        <f t="shared" si="14"/>
        <v>3.1825342308650119E-2</v>
      </c>
      <c r="Q83" s="54">
        <f t="shared" si="15"/>
        <v>-3.2763455329468627</v>
      </c>
      <c r="R83" s="235">
        <f t="shared" si="16"/>
        <v>-2.1535318132139353E-2</v>
      </c>
    </row>
    <row r="84" spans="3:18" s="294" customFormat="1" outlineLevel="1" x14ac:dyDescent="0.3">
      <c r="C84" s="294" t="s">
        <v>89</v>
      </c>
      <c r="D84" s="295" t="s">
        <v>430</v>
      </c>
      <c r="E84" s="233">
        <f xml:space="preserve"> INPUTS│Outcomes!E59</f>
        <v>121.03521751433519</v>
      </c>
      <c r="F84" s="233">
        <f xml:space="preserve"> INPUTS│Outcomes!F59</f>
        <v>129.0477930618911</v>
      </c>
      <c r="G84" s="233">
        <f xml:space="preserve"> INPUTS│Outcomes!G59</f>
        <v>126.38992200819459</v>
      </c>
      <c r="H84" s="233">
        <f xml:space="preserve"> INPUTS│Outcomes!H59</f>
        <v>130.37889097844433</v>
      </c>
      <c r="I84" s="233">
        <f xml:space="preserve"> INPUTS│Outcomes!I59</f>
        <v>131.66554432657387</v>
      </c>
      <c r="J84" s="233">
        <f xml:space="preserve"> INPUTS│Outcomes!J59</f>
        <v>132.93459744065959</v>
      </c>
      <c r="K84" s="233">
        <f xml:space="preserve"> INPUTS│Outcomes!K59</f>
        <v>130.97376257439635</v>
      </c>
      <c r="L84" s="233">
        <f xml:space="preserve"> INPUTS│Outcomes!L59</f>
        <v>128.52244525764453</v>
      </c>
      <c r="N84" s="54">
        <f t="shared" si="13"/>
        <v>7.4872277433093473</v>
      </c>
      <c r="O84" s="235">
        <f t="shared" si="14"/>
        <v>6.1859910669574941E-2</v>
      </c>
      <c r="Q84" s="54">
        <f t="shared" si="15"/>
        <v>-2.4513173167518119</v>
      </c>
      <c r="R84" s="235">
        <f t="shared" si="16"/>
        <v>-1.8716094495333773E-2</v>
      </c>
    </row>
    <row r="85" spans="3:18" s="294" customFormat="1" outlineLevel="1" x14ac:dyDescent="0.3">
      <c r="C85" s="294" t="s">
        <v>91</v>
      </c>
      <c r="D85" s="295" t="s">
        <v>430</v>
      </c>
      <c r="E85" s="233">
        <f xml:space="preserve"> INPUTS│Outcomes!E60</f>
        <v>138.02021113986385</v>
      </c>
      <c r="F85" s="233">
        <f xml:space="preserve"> INPUTS│Outcomes!F60</f>
        <v>139.00887994153712</v>
      </c>
      <c r="G85" s="233">
        <f xml:space="preserve"> INPUTS│Outcomes!G60</f>
        <v>134.69046491485614</v>
      </c>
      <c r="H85" s="233">
        <f xml:space="preserve"> INPUTS│Outcomes!H60</f>
        <v>136.17567614692561</v>
      </c>
      <c r="I85" s="233">
        <f xml:space="preserve"> INPUTS│Outcomes!I60</f>
        <v>137.70817733272165</v>
      </c>
      <c r="J85" s="233">
        <f xml:space="preserve"> INPUTS│Outcomes!J60</f>
        <v>141.58555441241018</v>
      </c>
      <c r="K85" s="233">
        <f xml:space="preserve"> INPUTS│Outcomes!K60</f>
        <v>156.10599455023325</v>
      </c>
      <c r="L85" s="233">
        <f xml:space="preserve"> INPUTS│Outcomes!L60</f>
        <v>152.65384530719879</v>
      </c>
      <c r="N85" s="54">
        <f t="shared" si="13"/>
        <v>14.633634167334947</v>
      </c>
      <c r="O85" s="235">
        <f t="shared" si="14"/>
        <v>0.10602529909554942</v>
      </c>
      <c r="Q85" s="54">
        <f t="shared" si="15"/>
        <v>-3.4521492430344551</v>
      </c>
      <c r="R85" s="235">
        <f t="shared" si="16"/>
        <v>-2.2114136314756255E-2</v>
      </c>
    </row>
    <row r="86" spans="3:18" s="294" customFormat="1" outlineLevel="1" x14ac:dyDescent="0.3">
      <c r="C86" s="294" t="s">
        <v>94</v>
      </c>
      <c r="D86" s="295" t="s">
        <v>430</v>
      </c>
      <c r="E86" s="233">
        <f xml:space="preserve"> INPUTS│Outcomes!E61</f>
        <v>143.41795162316063</v>
      </c>
      <c r="F86" s="233">
        <f xml:space="preserve"> INPUTS│Outcomes!F61</f>
        <v>140.81077550302473</v>
      </c>
      <c r="G86" s="233">
        <f xml:space="preserve"> INPUTS│Outcomes!G61</f>
        <v>134.83717214899471</v>
      </c>
      <c r="H86" s="233">
        <f xml:space="preserve"> INPUTS│Outcomes!H61</f>
        <v>129.71998671889023</v>
      </c>
      <c r="I86" s="233">
        <f xml:space="preserve"> INPUTS│Outcomes!I61</f>
        <v>131.29160843535067</v>
      </c>
      <c r="J86" s="233">
        <f xml:space="preserve"> INPUTS│Outcomes!J61</f>
        <v>128.89742242025429</v>
      </c>
      <c r="K86" s="233">
        <f xml:space="preserve"> INPUTS│Outcomes!K61</f>
        <v>129.74854584328725</v>
      </c>
      <c r="L86" s="233">
        <f xml:space="preserve"> INPUTS│Outcomes!L61</f>
        <v>126.54916491875368</v>
      </c>
      <c r="N86" s="54">
        <f t="shared" si="13"/>
        <v>-16.868786704406958</v>
      </c>
      <c r="O86" s="235">
        <f t="shared" si="14"/>
        <v>-0.1176197715382989</v>
      </c>
      <c r="Q86" s="54">
        <f t="shared" si="15"/>
        <v>-3.1993809245335711</v>
      </c>
      <c r="R86" s="235">
        <f t="shared" si="16"/>
        <v>-2.4658318162562254E-2</v>
      </c>
    </row>
    <row r="87" spans="3:18" s="294" customFormat="1" outlineLevel="1" x14ac:dyDescent="0.3">
      <c r="C87" s="294" t="s">
        <v>96</v>
      </c>
      <c r="D87" s="295" t="s">
        <v>430</v>
      </c>
      <c r="E87" s="233">
        <f xml:space="preserve"> INPUTS│Outcomes!E62</f>
        <v>154.70154128330074</v>
      </c>
      <c r="F87" s="233">
        <f xml:space="preserve"> INPUTS│Outcomes!F62</f>
        <v>156.19662585851603</v>
      </c>
      <c r="G87" s="233">
        <f xml:space="preserve"> INPUTS│Outcomes!G62</f>
        <v>150.65057941017494</v>
      </c>
      <c r="H87" s="233">
        <f xml:space="preserve"> INPUTS│Outcomes!H62</f>
        <v>149.01943946521803</v>
      </c>
      <c r="I87" s="233">
        <f xml:space="preserve"> INPUTS│Outcomes!I62</f>
        <v>146.380711145845</v>
      </c>
      <c r="J87" s="233">
        <f xml:space="preserve"> INPUTS│Outcomes!J62</f>
        <v>144.79100623226273</v>
      </c>
      <c r="K87" s="233">
        <f xml:space="preserve"> INPUTS│Outcomes!K62</f>
        <v>145.20993876390412</v>
      </c>
      <c r="L87" s="233">
        <f xml:space="preserve"> INPUTS│Outcomes!L62</f>
        <v>144.71587814173526</v>
      </c>
      <c r="N87" s="54">
        <f t="shared" si="13"/>
        <v>-9.9856631415654817</v>
      </c>
      <c r="O87" s="235">
        <f t="shared" si="14"/>
        <v>-6.4547922785584966E-2</v>
      </c>
      <c r="Q87" s="54">
        <f t="shared" si="15"/>
        <v>-0.49406062216885971</v>
      </c>
      <c r="R87" s="235">
        <f t="shared" si="16"/>
        <v>-3.4023884754345196E-3</v>
      </c>
    </row>
    <row r="88" spans="3:18" s="294" customFormat="1" outlineLevel="1" x14ac:dyDescent="0.3">
      <c r="C88" s="294" t="s">
        <v>98</v>
      </c>
      <c r="D88" s="295" t="s">
        <v>430</v>
      </c>
      <c r="E88" s="233">
        <f xml:space="preserve"> INPUTS│Outcomes!E63</f>
        <v>127.69374387244372</v>
      </c>
      <c r="F88" s="233">
        <f xml:space="preserve"> INPUTS│Outcomes!F63</f>
        <v>129.14130865173831</v>
      </c>
      <c r="G88" s="233">
        <f xml:space="preserve"> INPUTS│Outcomes!G63</f>
        <v>129.99546369937693</v>
      </c>
      <c r="H88" s="233">
        <f xml:space="preserve"> INPUTS│Outcomes!H63</f>
        <v>129.62151261715391</v>
      </c>
      <c r="I88" s="233">
        <f xml:space="preserve"> INPUTS│Outcomes!I63</f>
        <v>138.90698507382669</v>
      </c>
      <c r="J88" s="233">
        <f xml:space="preserve"> INPUTS│Outcomes!J63</f>
        <v>141.91871508726436</v>
      </c>
      <c r="K88" s="233">
        <f xml:space="preserve"> INPUTS│Outcomes!K63</f>
        <v>143.73192189180452</v>
      </c>
      <c r="L88" s="233">
        <f xml:space="preserve"> INPUTS│Outcomes!L63</f>
        <v>141.24574168472867</v>
      </c>
      <c r="N88" s="54">
        <f t="shared" si="13"/>
        <v>13.551997812284952</v>
      </c>
      <c r="O88" s="235">
        <f t="shared" si="14"/>
        <v>0.1061289096968005</v>
      </c>
      <c r="Q88" s="54">
        <f t="shared" si="15"/>
        <v>-2.4861802070758472</v>
      </c>
      <c r="R88" s="235">
        <f t="shared" si="16"/>
        <v>-1.729734198466602E-2</v>
      </c>
    </row>
    <row r="89" spans="3:18" s="294" customFormat="1" outlineLevel="1" x14ac:dyDescent="0.3">
      <c r="C89" s="294" t="s">
        <v>100</v>
      </c>
      <c r="D89" s="295" t="s">
        <v>430</v>
      </c>
      <c r="E89" s="233">
        <f xml:space="preserve"> INPUTS│Outcomes!E64</f>
        <v>136.36784735309234</v>
      </c>
      <c r="F89" s="233">
        <f xml:space="preserve"> INPUTS│Outcomes!F64</f>
        <v>138.48461827915</v>
      </c>
      <c r="G89" s="233">
        <f xml:space="preserve"> INPUTS│Outcomes!G64</f>
        <v>138.86755453184671</v>
      </c>
      <c r="H89" s="233">
        <f xml:space="preserve"> INPUTS│Outcomes!H64</f>
        <v>138.30489670004283</v>
      </c>
      <c r="I89" s="233">
        <f xml:space="preserve"> INPUTS│Outcomes!I64</f>
        <v>141.49072514239816</v>
      </c>
      <c r="J89" s="233">
        <f xml:space="preserve"> INPUTS│Outcomes!J64</f>
        <v>143.5891924582638</v>
      </c>
      <c r="K89" s="233">
        <f xml:space="preserve"> INPUTS│Outcomes!K64</f>
        <v>147.34805204878782</v>
      </c>
      <c r="L89" s="233">
        <f xml:space="preserve"> INPUTS│Outcomes!L64</f>
        <v>145.80733119289394</v>
      </c>
      <c r="N89" s="54">
        <f t="shared" si="13"/>
        <v>9.4394838398015963</v>
      </c>
      <c r="O89" s="235">
        <f t="shared" si="14"/>
        <v>6.9220743914511468E-2</v>
      </c>
      <c r="Q89" s="54">
        <f t="shared" si="15"/>
        <v>-1.5407208558938805</v>
      </c>
      <c r="R89" s="235">
        <f t="shared" si="16"/>
        <v>-1.0456336778607285E-2</v>
      </c>
    </row>
    <row r="90" spans="3:18" s="294" customFormat="1" outlineLevel="1" x14ac:dyDescent="0.3">
      <c r="C90" s="294" t="s">
        <v>102</v>
      </c>
      <c r="D90" s="295" t="s">
        <v>430</v>
      </c>
      <c r="E90" s="233">
        <f xml:space="preserve"> INPUTS│Outcomes!E65</f>
        <v>133.61496340579905</v>
      </c>
      <c r="F90" s="233">
        <f xml:space="preserve"> INPUTS│Outcomes!F65</f>
        <v>136.19690856042439</v>
      </c>
      <c r="G90" s="233">
        <f xml:space="preserve"> INPUTS│Outcomes!G65</f>
        <v>133.40920152150593</v>
      </c>
      <c r="H90" s="233">
        <f xml:space="preserve"> INPUTS│Outcomes!H65</f>
        <v>133.11939627175829</v>
      </c>
      <c r="I90" s="233">
        <f xml:space="preserve"> INPUTS│Outcomes!I65</f>
        <v>134.54771599370619</v>
      </c>
      <c r="J90" s="233">
        <f xml:space="preserve"> INPUTS│Outcomes!J65</f>
        <v>133.02464593551198</v>
      </c>
      <c r="K90" s="233">
        <f xml:space="preserve"> INPUTS│Outcomes!K65</f>
        <v>133.54823134376196</v>
      </c>
      <c r="L90" s="233">
        <f xml:space="preserve"> INPUTS│Outcomes!L65</f>
        <v>134.96443658575174</v>
      </c>
      <c r="N90" s="54">
        <f t="shared" si="13"/>
        <v>1.349473179952696</v>
      </c>
      <c r="O90" s="235">
        <f t="shared" si="14"/>
        <v>1.0099715971588008E-2</v>
      </c>
      <c r="Q90" s="54">
        <f t="shared" si="15"/>
        <v>1.4162052419897861</v>
      </c>
      <c r="R90" s="235">
        <f t="shared" si="16"/>
        <v>1.0604447754492386E-2</v>
      </c>
    </row>
    <row r="91" spans="3:18" s="294" customFormat="1" outlineLevel="1" x14ac:dyDescent="0.3">
      <c r="C91" s="294" t="s">
        <v>104</v>
      </c>
      <c r="D91" s="295" t="s">
        <v>430</v>
      </c>
      <c r="E91" s="233">
        <f xml:space="preserve"> INPUTS│Outcomes!E66</f>
        <v>148.38592602250273</v>
      </c>
      <c r="F91" s="233">
        <f xml:space="preserve"> INPUTS│Outcomes!F66</f>
        <v>153.61682268934169</v>
      </c>
      <c r="G91" s="233">
        <f xml:space="preserve"> INPUTS│Outcomes!G66</f>
        <v>149.54331075594806</v>
      </c>
      <c r="H91" s="233">
        <f xml:space="preserve"> INPUTS│Outcomes!H66</f>
        <v>151.48640305790576</v>
      </c>
      <c r="I91" s="233">
        <f xml:space="preserve"> INPUTS│Outcomes!I66</f>
        <v>154.74635937206253</v>
      </c>
      <c r="J91" s="233">
        <f xml:space="preserve"> INPUTS│Outcomes!J66</f>
        <v>153.06566374138475</v>
      </c>
      <c r="K91" s="233">
        <f xml:space="preserve"> INPUTS│Outcomes!K66</f>
        <v>158.80506468755738</v>
      </c>
      <c r="L91" s="233">
        <f xml:space="preserve"> INPUTS│Outcomes!L66</f>
        <v>154.97182242087445</v>
      </c>
      <c r="N91" s="54">
        <f t="shared" si="13"/>
        <v>6.585896398371716</v>
      </c>
      <c r="O91" s="235">
        <f t="shared" si="14"/>
        <v>4.4383565038189438E-2</v>
      </c>
      <c r="Q91" s="54">
        <f t="shared" si="15"/>
        <v>-3.8332422666829302</v>
      </c>
      <c r="R91" s="235">
        <f t="shared" si="16"/>
        <v>-2.4138035359418046E-2</v>
      </c>
    </row>
    <row r="92" spans="3:18" s="294" customFormat="1" outlineLevel="1" x14ac:dyDescent="0.3">
      <c r="C92" s="294" t="s">
        <v>106</v>
      </c>
      <c r="D92" s="295" t="s">
        <v>430</v>
      </c>
      <c r="E92" s="233">
        <f xml:space="preserve"> INPUTS│Outcomes!E67</f>
        <v>140.69089177195767</v>
      </c>
      <c r="F92" s="233">
        <f xml:space="preserve"> INPUTS│Outcomes!F67</f>
        <v>144.07819366942599</v>
      </c>
      <c r="G92" s="233">
        <f xml:space="preserve"> INPUTS│Outcomes!G67</f>
        <v>143.0719835115309</v>
      </c>
      <c r="H92" s="233">
        <f xml:space="preserve"> INPUTS│Outcomes!H67</f>
        <v>141.1335407205963</v>
      </c>
      <c r="I92" s="233">
        <f xml:space="preserve"> INPUTS│Outcomes!I67</f>
        <v>144.27891895258693</v>
      </c>
      <c r="J92" s="233">
        <f xml:space="preserve"> INPUTS│Outcomes!J67</f>
        <v>146.26313038497628</v>
      </c>
      <c r="K92" s="233">
        <f xml:space="preserve"> INPUTS│Outcomes!K67</f>
        <v>150.72682935655575</v>
      </c>
      <c r="L92" s="233">
        <f xml:space="preserve"> INPUTS│Outcomes!L67</f>
        <v>146.55214708388806</v>
      </c>
      <c r="N92" s="54">
        <f t="shared" si="13"/>
        <v>5.8612553119303925</v>
      </c>
      <c r="O92" s="235">
        <f t="shared" si="14"/>
        <v>4.166051716717209E-2</v>
      </c>
      <c r="Q92" s="54">
        <f t="shared" si="15"/>
        <v>-4.1746822726676953</v>
      </c>
      <c r="R92" s="235">
        <f t="shared" si="16"/>
        <v>-2.7697008492046014E-2</v>
      </c>
    </row>
    <row r="93" spans="3:18" s="294" customFormat="1" outlineLevel="1" x14ac:dyDescent="0.3">
      <c r="C93" s="294" t="s">
        <v>108</v>
      </c>
      <c r="D93" s="295" t="s">
        <v>430</v>
      </c>
      <c r="E93" s="233">
        <f xml:space="preserve"> INPUTS│Outcomes!E68</f>
        <v>148.5236210778273</v>
      </c>
      <c r="F93" s="233">
        <f xml:space="preserve"> INPUTS│Outcomes!F68</f>
        <v>148.27132801454252</v>
      </c>
      <c r="G93" s="233">
        <f xml:space="preserve"> INPUTS│Outcomes!G68</f>
        <v>145.54644969608938</v>
      </c>
      <c r="H93" s="233">
        <f xml:space="preserve"> INPUTS│Outcomes!H68</f>
        <v>144.44096787959219</v>
      </c>
      <c r="I93" s="233">
        <f xml:space="preserve"> INPUTS│Outcomes!I68</f>
        <v>145.06411671449584</v>
      </c>
      <c r="J93" s="233">
        <f xml:space="preserve"> INPUTS│Outcomes!J68</f>
        <v>147.53972950084056</v>
      </c>
      <c r="K93" s="233">
        <f xml:space="preserve"> INPUTS│Outcomes!K68</f>
        <v>153.85283474289486</v>
      </c>
      <c r="L93" s="233">
        <f xml:space="preserve"> INPUTS│Outcomes!L68</f>
        <v>153.11624205938838</v>
      </c>
      <c r="N93" s="54">
        <f t="shared" si="13"/>
        <v>4.5926209815610832</v>
      </c>
      <c r="O93" s="235">
        <f t="shared" si="14"/>
        <v>3.0921822052497099E-2</v>
      </c>
      <c r="Q93" s="54">
        <f t="shared" si="15"/>
        <v>-0.73659268350647267</v>
      </c>
      <c r="R93" s="235">
        <f t="shared" si="16"/>
        <v>-4.7876445353600451E-3</v>
      </c>
    </row>
    <row r="94" spans="3:18" s="294" customFormat="1" outlineLevel="1" x14ac:dyDescent="0.3">
      <c r="C94" s="294" t="s">
        <v>112</v>
      </c>
      <c r="D94" s="295" t="s">
        <v>430</v>
      </c>
      <c r="E94" s="233">
        <f xml:space="preserve"> INPUTS│Outcomes!E69</f>
        <v>159.16885391857559</v>
      </c>
      <c r="F94" s="233">
        <f xml:space="preserve"> INPUTS│Outcomes!F69</f>
        <v>155.55635744694314</v>
      </c>
      <c r="G94" s="233">
        <f xml:space="preserve"> INPUTS│Outcomes!G69</f>
        <v>157.50535709433981</v>
      </c>
      <c r="H94" s="233">
        <f xml:space="preserve"> INPUTS│Outcomes!H69</f>
        <v>160.98594858327627</v>
      </c>
      <c r="I94" s="233">
        <f xml:space="preserve"> INPUTS│Outcomes!I69</f>
        <v>151.35844833724815</v>
      </c>
      <c r="J94" s="233">
        <f xml:space="preserve"> INPUTS│Outcomes!J69</f>
        <v>150.13439996230898</v>
      </c>
      <c r="K94" s="233">
        <f xml:space="preserve"> INPUTS│Outcomes!K69</f>
        <v>151.83838991981071</v>
      </c>
      <c r="L94" s="233">
        <f xml:space="preserve"> INPUTS│Outcomes!L69</f>
        <v>149.50438417543901</v>
      </c>
      <c r="N94" s="54">
        <f t="shared" si="13"/>
        <v>-9.6644697431365785</v>
      </c>
      <c r="O94" s="235">
        <f t="shared" si="14"/>
        <v>-6.0718347247009356E-2</v>
      </c>
      <c r="Q94" s="54">
        <f t="shared" si="15"/>
        <v>-2.3340057443716944</v>
      </c>
      <c r="R94" s="235">
        <f t="shared" si="16"/>
        <v>-1.5371644454372413E-2</v>
      </c>
    </row>
    <row r="95" spans="3:18" s="294" customFormat="1" outlineLevel="1" x14ac:dyDescent="0.3">
      <c r="C95" s="294" t="s">
        <v>114</v>
      </c>
      <c r="D95" s="295" t="s">
        <v>430</v>
      </c>
      <c r="E95" s="233">
        <f xml:space="preserve"> INPUTS│Outcomes!E70</f>
        <v>129.75412145213679</v>
      </c>
      <c r="F95" s="233">
        <f xml:space="preserve"> INPUTS│Outcomes!F70</f>
        <v>131.34664320499309</v>
      </c>
      <c r="G95" s="233">
        <f xml:space="preserve"> INPUTS│Outcomes!G70</f>
        <v>129.28882051884449</v>
      </c>
      <c r="H95" s="233">
        <f xml:space="preserve"> INPUTS│Outcomes!H70</f>
        <v>129.59305039138334</v>
      </c>
      <c r="I95" s="233">
        <f xml:space="preserve"> INPUTS│Outcomes!I70</f>
        <v>129.84805588835923</v>
      </c>
      <c r="J95" s="233">
        <f xml:space="preserve"> INPUTS│Outcomes!J70</f>
        <v>133.08878328345324</v>
      </c>
      <c r="K95" s="233">
        <f xml:space="preserve"> INPUTS│Outcomes!K70</f>
        <v>136.40704019243358</v>
      </c>
      <c r="L95" s="233">
        <f xml:space="preserve"> INPUTS│Outcomes!L70</f>
        <v>128.56773141287647</v>
      </c>
      <c r="N95" s="54">
        <f t="shared" si="13"/>
        <v>-1.1863900392603171</v>
      </c>
      <c r="O95" s="235">
        <f t="shared" si="14"/>
        <v>-9.1433707537216698E-3</v>
      </c>
      <c r="Q95" s="54">
        <f t="shared" si="15"/>
        <v>-7.8393087795571148</v>
      </c>
      <c r="R95" s="235">
        <f t="shared" si="16"/>
        <v>-5.7469971993366044E-2</v>
      </c>
    </row>
    <row r="96" spans="3:18" s="294" customFormat="1" outlineLevel="1" x14ac:dyDescent="0.3">
      <c r="C96" s="294" t="s">
        <v>110</v>
      </c>
      <c r="D96" s="295" t="s">
        <v>430</v>
      </c>
      <c r="E96" s="233">
        <f xml:space="preserve"> INPUTS│Outcomes!E71</f>
        <v>165.27496575259337</v>
      </c>
      <c r="F96" s="233">
        <f xml:space="preserve"> INPUTS│Outcomes!F71</f>
        <v>166.73453033031015</v>
      </c>
      <c r="G96" s="233">
        <f xml:space="preserve"> INPUTS│Outcomes!G71</f>
        <v>161.04943896265382</v>
      </c>
      <c r="H96" s="233">
        <f xml:space="preserve"> INPUTS│Outcomes!H71</f>
        <v>160.92094891768454</v>
      </c>
      <c r="I96" s="233">
        <f xml:space="preserve"> INPUTS│Outcomes!I71</f>
        <v>159.73316019851541</v>
      </c>
      <c r="J96" s="233">
        <f xml:space="preserve"> INPUTS│Outcomes!J71</f>
        <v>159.13316893030517</v>
      </c>
      <c r="K96" s="233">
        <f xml:space="preserve"> INPUTS│Outcomes!K71</f>
        <v>162.44342327478668</v>
      </c>
      <c r="L96" s="233">
        <f xml:space="preserve"> INPUTS│Outcomes!L71</f>
        <v>153.09501907766804</v>
      </c>
      <c r="N96" s="54">
        <f xml:space="preserve"> INDEX( E96:L96, 1, MATCH( Year, $E$2:$L$2, 0 ) ) - E96</f>
        <v>-12.179946674925333</v>
      </c>
      <c r="O96" s="235">
        <f xml:space="preserve"> IF( E96 = 0, "-", N96 / E96 )</f>
        <v>-7.3695048850640668E-2</v>
      </c>
      <c r="Q96" s="54">
        <f t="shared" si="15"/>
        <v>-9.34840419711864</v>
      </c>
      <c r="R96" s="235">
        <f t="shared" si="16"/>
        <v>-5.7548677617468263E-2</v>
      </c>
    </row>
    <row r="97" spans="2:19" s="294" customFormat="1" outlineLevel="1" x14ac:dyDescent="0.3">
      <c r="D97" s="295"/>
      <c r="O97" s="296"/>
      <c r="R97" s="296"/>
    </row>
    <row r="98" spans="2:19" s="294" customFormat="1" outlineLevel="1" x14ac:dyDescent="0.3">
      <c r="C98" s="300" t="s">
        <v>424</v>
      </c>
      <c r="D98" s="301" t="s">
        <v>430</v>
      </c>
      <c r="E98" s="54">
        <f t="shared" ref="E98:L98" si="17" xml:space="preserve"> IFERROR( SUMPRODUCT( E80:E96, E102:E118 ) / E120, 0 )</f>
        <v>139.15105068989109</v>
      </c>
      <c r="F98" s="54">
        <f t="shared" si="17"/>
        <v>141.38641160546337</v>
      </c>
      <c r="G98" s="54">
        <f t="shared" si="17"/>
        <v>139.07497200330258</v>
      </c>
      <c r="H98" s="54">
        <f t="shared" si="17"/>
        <v>139.59177469309751</v>
      </c>
      <c r="I98" s="54">
        <f t="shared" si="17"/>
        <v>140.74839815234702</v>
      </c>
      <c r="J98" s="54">
        <f t="shared" si="17"/>
        <v>141.52780918312689</v>
      </c>
      <c r="K98" s="54">
        <f t="shared" si="17"/>
        <v>143.43027222872487</v>
      </c>
      <c r="L98" s="54">
        <f t="shared" si="17"/>
        <v>141.63413999483814</v>
      </c>
      <c r="N98" s="54">
        <f xml:space="preserve"> INDEX( E98:L98, 1, MATCH( Year, $E$2:$L$2, 0 ) ) - E98</f>
        <v>2.4830893049470433</v>
      </c>
      <c r="O98" s="235">
        <f xml:space="preserve"> IF( E98 = 0, "-", N98 / E98 )</f>
        <v>1.7844560228875313E-2</v>
      </c>
      <c r="Q98" s="54">
        <f xml:space="preserve"> INDEX( E98:L98, 1, MATCH( Year, $E$2:$L$2, 0 ) ) - INDEX( E98:L98, 1, MATCH( Last_year, $E$2:$L$2, 0 ) )</f>
        <v>-1.7961322338867376</v>
      </c>
      <c r="R98" s="235">
        <f xml:space="preserve"> IF( INDEX( $E98:$L98, 1, MATCH( Last_year, $E$2:$L$2, 0 ) ) = 0, "-", Q98 / INDEX( $E98:$L98, 1, MATCH( Last_year, $E$2:$L$2, 0 ) ) )</f>
        <v>-1.2522685803890045E-2</v>
      </c>
    </row>
    <row r="99" spans="2:19" s="294" customFormat="1" outlineLevel="1" x14ac:dyDescent="0.3">
      <c r="D99" s="295"/>
      <c r="O99" s="296"/>
      <c r="R99" s="296"/>
    </row>
    <row r="100" spans="2:19" ht="13.5" outlineLevel="1" x14ac:dyDescent="0.35">
      <c r="B100" s="31" t="s">
        <v>431</v>
      </c>
      <c r="C100" s="31"/>
      <c r="D100" s="28"/>
      <c r="E100" s="29"/>
      <c r="F100" s="29"/>
      <c r="G100" s="29"/>
      <c r="H100" s="29"/>
      <c r="I100" s="29"/>
      <c r="J100" s="29"/>
      <c r="K100" s="29"/>
      <c r="L100" s="29"/>
      <c r="M100" s="29"/>
      <c r="N100" s="29"/>
      <c r="O100" s="59"/>
      <c r="P100" s="29"/>
      <c r="Q100" s="29"/>
      <c r="R100" s="59"/>
      <c r="S100" s="29"/>
    </row>
    <row r="101" spans="2:19" s="294" customFormat="1" outlineLevel="1" x14ac:dyDescent="0.3">
      <c r="D101" s="295"/>
      <c r="O101" s="296"/>
      <c r="R101" s="296"/>
    </row>
    <row r="102" spans="2:19" s="294" customFormat="1" outlineLevel="1" x14ac:dyDescent="0.3">
      <c r="C102" s="294" t="s">
        <v>80</v>
      </c>
      <c r="D102" s="295" t="s">
        <v>129</v>
      </c>
      <c r="E102" s="102">
        <f xml:space="preserve"> INPUTS│Outcomes!E77</f>
        <v>4341.67</v>
      </c>
      <c r="F102" s="102">
        <f xml:space="preserve"> INPUTS│Outcomes!F77</f>
        <v>4467.9889999999996</v>
      </c>
      <c r="G102" s="102">
        <f xml:space="preserve"> INPUTS│Outcomes!G77</f>
        <v>4490.2929999999997</v>
      </c>
      <c r="H102" s="102">
        <f xml:space="preserve"> INPUTS│Outcomes!H77</f>
        <v>4485.2939999999999</v>
      </c>
      <c r="I102" s="102">
        <f xml:space="preserve"> INPUTS│Outcomes!I77</f>
        <v>4519.0111336944838</v>
      </c>
      <c r="J102" s="102">
        <f xml:space="preserve"> INPUTS│Outcomes!J77</f>
        <v>4542.473</v>
      </c>
      <c r="K102" s="102">
        <f xml:space="preserve"> INPUTS│Outcomes!K77</f>
        <v>4651.9169555497101</v>
      </c>
      <c r="L102" s="102">
        <f xml:space="preserve"> INPUTS│Outcomes!L77</f>
        <v>4699.2625583441868</v>
      </c>
      <c r="O102" s="296"/>
      <c r="R102" s="296"/>
    </row>
    <row r="103" spans="2:19" s="294" customFormat="1" outlineLevel="1" x14ac:dyDescent="0.3">
      <c r="C103" s="294" t="s">
        <v>82</v>
      </c>
      <c r="D103" s="295" t="s">
        <v>129</v>
      </c>
      <c r="E103" s="102">
        <f xml:space="preserve"> INPUTS│Outcomes!E78</f>
        <v>2902.3679999999999</v>
      </c>
      <c r="F103" s="102">
        <f xml:space="preserve"> INPUTS│Outcomes!F78</f>
        <v>2899.5309999999999</v>
      </c>
      <c r="G103" s="102">
        <f xml:space="preserve"> INPUTS│Outcomes!G78</f>
        <v>2915.7689999999998</v>
      </c>
      <c r="H103" s="102">
        <f xml:space="preserve"> INPUTS│Outcomes!H78</f>
        <v>2921.9180000000001</v>
      </c>
      <c r="I103" s="102">
        <f xml:space="preserve"> INPUTS│Outcomes!I78</f>
        <v>2932.9520000000002</v>
      </c>
      <c r="J103" s="102">
        <f xml:space="preserve"> INPUTS│Outcomes!J78</f>
        <v>2938.194</v>
      </c>
      <c r="K103" s="102">
        <f xml:space="preserve"> INPUTS│Outcomes!K78</f>
        <v>2942.0819999999999</v>
      </c>
      <c r="L103" s="102">
        <f xml:space="preserve"> INPUTS│Outcomes!L78</f>
        <v>2986.239</v>
      </c>
      <c r="O103" s="296"/>
      <c r="R103" s="296"/>
    </row>
    <row r="104" spans="2:19" s="294" customFormat="1" outlineLevel="1" x14ac:dyDescent="0.3">
      <c r="C104" s="294" t="s">
        <v>85</v>
      </c>
      <c r="D104" s="295" t="s">
        <v>129</v>
      </c>
      <c r="E104" s="102">
        <f xml:space="preserve"> INPUTS│Outcomes!E79</f>
        <v>250.35835240278502</v>
      </c>
      <c r="F104" s="102">
        <f xml:space="preserve"> INPUTS│Outcomes!F79</f>
        <v>260.5779823479287</v>
      </c>
      <c r="G104" s="102">
        <f xml:space="preserve"> INPUTS│Outcomes!G79</f>
        <v>261.41618686491495</v>
      </c>
      <c r="H104" s="102">
        <f xml:space="preserve"> INPUTS│Outcomes!H79</f>
        <v>261.36726596776072</v>
      </c>
      <c r="I104" s="102">
        <f xml:space="preserve"> INPUTS│Outcomes!I79</f>
        <v>259.4769675</v>
      </c>
      <c r="J104" s="102">
        <f xml:space="preserve"> INPUTS│Outcomes!J79</f>
        <v>261.01866999999999</v>
      </c>
      <c r="K104" s="102">
        <f xml:space="preserve"> INPUTS│Outcomes!K79</f>
        <v>216.2234828312653</v>
      </c>
      <c r="L104" s="102">
        <f xml:space="preserve"> INPUTS│Outcomes!L79</f>
        <v>208.88321065361171</v>
      </c>
      <c r="O104" s="296"/>
      <c r="R104" s="296"/>
    </row>
    <row r="105" spans="2:19" s="294" customFormat="1" outlineLevel="1" x14ac:dyDescent="0.3">
      <c r="C105" s="294" t="s">
        <v>87</v>
      </c>
      <c r="D105" s="295" t="s">
        <v>129</v>
      </c>
      <c r="E105" s="102">
        <f xml:space="preserve"> INPUTS│Outcomes!E80</f>
        <v>4307.485602167736</v>
      </c>
      <c r="F105" s="102">
        <f xml:space="preserve"> INPUTS│Outcomes!F80</f>
        <v>4322.8073827414682</v>
      </c>
      <c r="G105" s="102">
        <f xml:space="preserve"> INPUTS│Outcomes!G80</f>
        <v>4337.2872988971303</v>
      </c>
      <c r="H105" s="102">
        <f xml:space="preserve"> INPUTS│Outcomes!H80</f>
        <v>4351.3459197076108</v>
      </c>
      <c r="I105" s="102">
        <f xml:space="preserve"> INPUTS│Outcomes!I80</f>
        <v>4364.653278608881</v>
      </c>
      <c r="J105" s="102">
        <f xml:space="preserve"> INPUTS│Outcomes!J80</f>
        <v>4464.0018651658793</v>
      </c>
      <c r="K105" s="102">
        <f xml:space="preserve"> INPUTS│Outcomes!K80</f>
        <v>4491.1866618570148</v>
      </c>
      <c r="L105" s="102">
        <f xml:space="preserve"> INPUTS│Outcomes!L80</f>
        <v>4525.0510830347448</v>
      </c>
      <c r="O105" s="296"/>
      <c r="R105" s="296"/>
    </row>
    <row r="106" spans="2:19" s="294" customFormat="1" outlineLevel="1" x14ac:dyDescent="0.3">
      <c r="C106" s="294" t="s">
        <v>89</v>
      </c>
      <c r="D106" s="295" t="s">
        <v>129</v>
      </c>
      <c r="E106" s="102">
        <f xml:space="preserve"> INPUTS│Outcomes!E81</f>
        <v>7795.8539999999994</v>
      </c>
      <c r="F106" s="102">
        <f xml:space="preserve"> INPUTS│Outcomes!F81</f>
        <v>7556.2813064295224</v>
      </c>
      <c r="G106" s="102">
        <f xml:space="preserve"> INPUTS│Outcomes!G81</f>
        <v>7546.0839662716262</v>
      </c>
      <c r="H106" s="102">
        <f xml:space="preserve"> INPUTS│Outcomes!H81</f>
        <v>7584.8762006866782</v>
      </c>
      <c r="I106" s="102">
        <f xml:space="preserve"> INPUTS│Outcomes!I81</f>
        <v>7623.3626331072392</v>
      </c>
      <c r="J106" s="102">
        <f xml:space="preserve"> INPUTS│Outcomes!J81</f>
        <v>7704.1229096191364</v>
      </c>
      <c r="K106" s="102">
        <f xml:space="preserve"> INPUTS│Outcomes!K81</f>
        <v>8258.0778302146937</v>
      </c>
      <c r="L106" s="102">
        <f xml:space="preserve"> INPUTS│Outcomes!L81</f>
        <v>8298.185043942558</v>
      </c>
      <c r="O106" s="296"/>
      <c r="R106" s="296"/>
    </row>
    <row r="107" spans="2:19" s="294" customFormat="1" outlineLevel="1" x14ac:dyDescent="0.3">
      <c r="C107" s="294" t="s">
        <v>91</v>
      </c>
      <c r="D107" s="295" t="s">
        <v>129</v>
      </c>
      <c r="E107" s="102">
        <f xml:space="preserve"> INPUTS│Outcomes!E82</f>
        <v>1990.15</v>
      </c>
      <c r="F107" s="102">
        <f xml:space="preserve"> INPUTS│Outcomes!F82</f>
        <v>2004.69</v>
      </c>
      <c r="G107" s="102">
        <f xml:space="preserve"> INPUTS│Outcomes!G82</f>
        <v>2043.6</v>
      </c>
      <c r="H107" s="102">
        <f xml:space="preserve"> INPUTS│Outcomes!H82</f>
        <v>2081.87</v>
      </c>
      <c r="I107" s="102">
        <f xml:space="preserve"> INPUTS│Outcomes!I82</f>
        <v>2092.62</v>
      </c>
      <c r="J107" s="102">
        <f xml:space="preserve"> INPUTS│Outcomes!J82</f>
        <v>2118.91</v>
      </c>
      <c r="K107" s="102">
        <f xml:space="preserve"> INPUTS│Outcomes!K82</f>
        <v>2127.2600000000002</v>
      </c>
      <c r="L107" s="102">
        <f xml:space="preserve"> INPUTS│Outcomes!L82</f>
        <v>2169.9700000000003</v>
      </c>
      <c r="O107" s="296"/>
      <c r="R107" s="296"/>
    </row>
    <row r="108" spans="2:19" s="294" customFormat="1" outlineLevel="1" x14ac:dyDescent="0.3">
      <c r="C108" s="294" t="s">
        <v>94</v>
      </c>
      <c r="D108" s="295" t="s">
        <v>129</v>
      </c>
      <c r="E108" s="102">
        <f xml:space="preserve"> INPUTS│Outcomes!E83</f>
        <v>2329.8173110444486</v>
      </c>
      <c r="F108" s="102">
        <f xml:space="preserve"> INPUTS│Outcomes!F83</f>
        <v>2387.8050000000003</v>
      </c>
      <c r="G108" s="102">
        <f xml:space="preserve"> INPUTS│Outcomes!G83</f>
        <v>2406.8044326814497</v>
      </c>
      <c r="H108" s="102">
        <f xml:space="preserve"> INPUTS│Outcomes!H83</f>
        <v>2424.4354007585571</v>
      </c>
      <c r="I108" s="102">
        <f xml:space="preserve"> INPUTS│Outcomes!I83</f>
        <v>2442.6343777767606</v>
      </c>
      <c r="J108" s="102">
        <f xml:space="preserve"> INPUTS│Outcomes!J83</f>
        <v>2475.8329799999997</v>
      </c>
      <c r="K108" s="102">
        <f xml:space="preserve"> INPUTS│Outcomes!K83</f>
        <v>2497.5532426517457</v>
      </c>
      <c r="L108" s="102">
        <f xml:space="preserve"> INPUTS│Outcomes!L83</f>
        <v>2520.0267052599997</v>
      </c>
      <c r="O108" s="296"/>
      <c r="R108" s="296"/>
    </row>
    <row r="109" spans="2:19" s="294" customFormat="1" outlineLevel="1" x14ac:dyDescent="0.3">
      <c r="C109" s="294" t="s">
        <v>96</v>
      </c>
      <c r="D109" s="295" t="s">
        <v>129</v>
      </c>
      <c r="E109" s="102">
        <f xml:space="preserve"> INPUTS│Outcomes!E84</f>
        <v>8717.4110000000001</v>
      </c>
      <c r="F109" s="102">
        <f xml:space="preserve"> INPUTS│Outcomes!F84</f>
        <v>8813.027</v>
      </c>
      <c r="G109" s="102">
        <f xml:space="preserve"> INPUTS│Outcomes!G84</f>
        <v>9102.36</v>
      </c>
      <c r="H109" s="102">
        <f xml:space="preserve"> INPUTS│Outcomes!H84</f>
        <v>9404.223</v>
      </c>
      <c r="I109" s="102">
        <f xml:space="preserve"> INPUTS│Outcomes!I84</f>
        <v>9779.1149999999998</v>
      </c>
      <c r="J109" s="102">
        <f xml:space="preserve"> INPUTS│Outcomes!J84</f>
        <v>9908.9839050142</v>
      </c>
      <c r="K109" s="102">
        <f xml:space="preserve"> INPUTS│Outcomes!K84</f>
        <v>9908.7662568682899</v>
      </c>
      <c r="L109" s="102">
        <f xml:space="preserve"> INPUTS│Outcomes!L84</f>
        <v>10008.49056978017</v>
      </c>
      <c r="O109" s="296"/>
      <c r="R109" s="296"/>
    </row>
    <row r="110" spans="2:19" s="294" customFormat="1" outlineLevel="1" x14ac:dyDescent="0.3">
      <c r="C110" s="294" t="s">
        <v>98</v>
      </c>
      <c r="D110" s="295" t="s">
        <v>129</v>
      </c>
      <c r="E110" s="102">
        <f xml:space="preserve"> INPUTS│Outcomes!E85</f>
        <v>6727.993726911016</v>
      </c>
      <c r="F110" s="102">
        <f xml:space="preserve"> INPUTS│Outcomes!F85</f>
        <v>6726.3551419524192</v>
      </c>
      <c r="G110" s="102">
        <f xml:space="preserve"> INPUTS│Outcomes!G85</f>
        <v>6716.5461846579256</v>
      </c>
      <c r="H110" s="102">
        <f xml:space="preserve"> INPUTS│Outcomes!H85</f>
        <v>6734.4553595322377</v>
      </c>
      <c r="I110" s="102">
        <f xml:space="preserve"> INPUTS│Outcomes!I85</f>
        <v>6363.212927832501</v>
      </c>
      <c r="J110" s="102">
        <f xml:space="preserve"> INPUTS│Outcomes!J85</f>
        <v>6345.8449112092094</v>
      </c>
      <c r="K110" s="102">
        <f xml:space="preserve"> INPUTS│Outcomes!K85</f>
        <v>6382.1167914604302</v>
      </c>
      <c r="L110" s="102">
        <f xml:space="preserve"> INPUTS│Outcomes!L85</f>
        <v>6442.1687677392074</v>
      </c>
      <c r="O110" s="296"/>
      <c r="R110" s="296"/>
    </row>
    <row r="111" spans="2:19" s="294" customFormat="1" outlineLevel="1" x14ac:dyDescent="0.3">
      <c r="C111" s="294" t="s">
        <v>100</v>
      </c>
      <c r="D111" s="295" t="s">
        <v>129</v>
      </c>
      <c r="E111" s="102">
        <f xml:space="preserve"> INPUTS│Outcomes!E86</f>
        <v>1260.7919999999999</v>
      </c>
      <c r="F111" s="102">
        <f xml:space="preserve"> INPUTS│Outcomes!F86</f>
        <v>1267.6410000000001</v>
      </c>
      <c r="G111" s="102">
        <f xml:space="preserve"> INPUTS│Outcomes!G86</f>
        <v>1274.6680000000001</v>
      </c>
      <c r="H111" s="102">
        <f xml:space="preserve"> INPUTS│Outcomes!H86</f>
        <v>1297.5320000000002</v>
      </c>
      <c r="I111" s="102">
        <f xml:space="preserve"> INPUTS│Outcomes!I86</f>
        <v>1304.7919999999999</v>
      </c>
      <c r="J111" s="102">
        <f xml:space="preserve"> INPUTS│Outcomes!J86</f>
        <v>1314.8103227398301</v>
      </c>
      <c r="K111" s="102">
        <f xml:space="preserve"> INPUTS│Outcomes!K86</f>
        <v>1327.6262618937374</v>
      </c>
      <c r="L111" s="102">
        <f xml:space="preserve"> INPUTS│Outcomes!L86</f>
        <v>1335.1302897680011</v>
      </c>
      <c r="O111" s="296"/>
      <c r="R111" s="296"/>
    </row>
    <row r="112" spans="2:19" s="294" customFormat="1" outlineLevel="1" x14ac:dyDescent="0.3">
      <c r="C112" s="294" t="s">
        <v>102</v>
      </c>
      <c r="D112" s="295" t="s">
        <v>129</v>
      </c>
      <c r="E112" s="102">
        <f xml:space="preserve"> INPUTS│Outcomes!E87</f>
        <v>4833.826</v>
      </c>
      <c r="F112" s="102">
        <f xml:space="preserve"> INPUTS│Outcomes!F87</f>
        <v>4851.1379999999999</v>
      </c>
      <c r="G112" s="102">
        <f xml:space="preserve"> INPUTS│Outcomes!G87</f>
        <v>4869.9120000000003</v>
      </c>
      <c r="H112" s="102">
        <f xml:space="preserve"> INPUTS│Outcomes!H87</f>
        <v>4882.6769999999997</v>
      </c>
      <c r="I112" s="102">
        <f xml:space="preserve"> INPUTS│Outcomes!I87</f>
        <v>4920.3980000000001</v>
      </c>
      <c r="J112" s="102">
        <f xml:space="preserve"> INPUTS│Outcomes!J87</f>
        <v>4948.2370000000001</v>
      </c>
      <c r="K112" s="102">
        <f xml:space="preserve"> INPUTS│Outcomes!K87</f>
        <v>4960.8340000000007</v>
      </c>
      <c r="L112" s="102">
        <f xml:space="preserve"> INPUTS│Outcomes!L87</f>
        <v>4973.8270000000002</v>
      </c>
      <c r="O112" s="296"/>
      <c r="R112" s="296"/>
    </row>
    <row r="113" spans="2:19" s="294" customFormat="1" outlineLevel="1" x14ac:dyDescent="0.3">
      <c r="C113" s="294" t="s">
        <v>104</v>
      </c>
      <c r="D113" s="295" t="s">
        <v>129</v>
      </c>
      <c r="E113" s="102">
        <f xml:space="preserve"> INPUTS│Outcomes!E88</f>
        <v>3428.4749999999999</v>
      </c>
      <c r="F113" s="102">
        <f xml:space="preserve"> INPUTS│Outcomes!F88</f>
        <v>3534.9989999999993</v>
      </c>
      <c r="G113" s="102">
        <f xml:space="preserve"> INPUTS│Outcomes!G88</f>
        <v>3575.2589999999996</v>
      </c>
      <c r="H113" s="102">
        <f xml:space="preserve"> INPUTS│Outcomes!H88</f>
        <v>3569.6600748698193</v>
      </c>
      <c r="I113" s="102">
        <f xml:space="preserve"> INPUTS│Outcomes!I88</f>
        <v>3561.0569680374838</v>
      </c>
      <c r="J113" s="102">
        <f xml:space="preserve"> INPUTS│Outcomes!J88</f>
        <v>3665.470962548306</v>
      </c>
      <c r="K113" s="102">
        <f xml:space="preserve"> INPUTS│Outcomes!K88</f>
        <v>3557.0209999999997</v>
      </c>
      <c r="L113" s="102">
        <f xml:space="preserve"> INPUTS│Outcomes!L88</f>
        <v>3726.6087306949407</v>
      </c>
      <c r="O113" s="296"/>
      <c r="R113" s="296"/>
    </row>
    <row r="114" spans="2:19" s="294" customFormat="1" outlineLevel="1" x14ac:dyDescent="0.3">
      <c r="C114" s="294" t="s">
        <v>106</v>
      </c>
      <c r="D114" s="295" t="s">
        <v>129</v>
      </c>
      <c r="E114" s="102">
        <f xml:space="preserve"> INPUTS│Outcomes!E89</f>
        <v>1091.8150000000001</v>
      </c>
      <c r="F114" s="102">
        <f xml:space="preserve"> INPUTS│Outcomes!F89</f>
        <v>1100.153</v>
      </c>
      <c r="G114" s="102">
        <f xml:space="preserve"> INPUTS│Outcomes!G89</f>
        <v>1107.1980000000001</v>
      </c>
      <c r="H114" s="102">
        <f xml:space="preserve"> INPUTS│Outcomes!H89</f>
        <v>1119.3229999999999</v>
      </c>
      <c r="I114" s="102">
        <f xml:space="preserve"> INPUTS│Outcomes!I89</f>
        <v>1147.933</v>
      </c>
      <c r="J114" s="102">
        <f xml:space="preserve"> INPUTS│Outcomes!J89</f>
        <v>1148.798</v>
      </c>
      <c r="K114" s="102">
        <f xml:space="preserve"> INPUTS│Outcomes!K89</f>
        <v>1157.847</v>
      </c>
      <c r="L114" s="102">
        <f xml:space="preserve"> INPUTS│Outcomes!L89</f>
        <v>1168.748</v>
      </c>
      <c r="O114" s="296"/>
      <c r="R114" s="296"/>
    </row>
    <row r="115" spans="2:19" s="294" customFormat="1" outlineLevel="1" x14ac:dyDescent="0.3">
      <c r="C115" s="294" t="s">
        <v>108</v>
      </c>
      <c r="D115" s="295" t="s">
        <v>129</v>
      </c>
      <c r="E115" s="102">
        <f xml:space="preserve"> INPUTS│Outcomes!E90</f>
        <v>675.13599999999997</v>
      </c>
      <c r="F115" s="102">
        <f xml:space="preserve"> INPUTS│Outcomes!F90</f>
        <v>693.14</v>
      </c>
      <c r="G115" s="102">
        <f xml:space="preserve"> INPUTS│Outcomes!G90</f>
        <v>698.06700000000001</v>
      </c>
      <c r="H115" s="102">
        <f xml:space="preserve"> INPUTS│Outcomes!H90</f>
        <v>703.01100000000008</v>
      </c>
      <c r="I115" s="102">
        <f xml:space="preserve"> INPUTS│Outcomes!I90</f>
        <v>707.72700000000009</v>
      </c>
      <c r="J115" s="102">
        <f xml:space="preserve"> INPUTS│Outcomes!J90</f>
        <v>712.01700000000005</v>
      </c>
      <c r="K115" s="102">
        <f xml:space="preserve"> INPUTS│Outcomes!K90</f>
        <v>716.42658336905197</v>
      </c>
      <c r="L115" s="102">
        <f xml:space="preserve"> INPUTS│Outcomes!L90</f>
        <v>731.05200000000002</v>
      </c>
      <c r="O115" s="296"/>
      <c r="R115" s="296"/>
    </row>
    <row r="116" spans="2:19" s="294" customFormat="1" outlineLevel="1" x14ac:dyDescent="0.3">
      <c r="C116" s="294" t="s">
        <v>112</v>
      </c>
      <c r="D116" s="295" t="s">
        <v>129</v>
      </c>
      <c r="E116" s="102">
        <f xml:space="preserve"> INPUTS│Outcomes!E91</f>
        <v>2010.6996536981521</v>
      </c>
      <c r="F116" s="102">
        <f xml:space="preserve"> INPUTS│Outcomes!F91</f>
        <v>2063.084671061124</v>
      </c>
      <c r="G116" s="102">
        <f xml:space="preserve"> INPUTS│Outcomes!G91</f>
        <v>2079.6885335812485</v>
      </c>
      <c r="H116" s="102">
        <f xml:space="preserve"> INPUTS│Outcomes!H91</f>
        <v>2096.7502325967371</v>
      </c>
      <c r="I116" s="102">
        <f xml:space="preserve"> INPUTS│Outcomes!I91</f>
        <v>2145.7734168678044</v>
      </c>
      <c r="J116" s="102">
        <f xml:space="preserve"> INPUTS│Outcomes!J91</f>
        <v>2167.9206038546381</v>
      </c>
      <c r="K116" s="102">
        <f xml:space="preserve"> INPUTS│Outcomes!K91</f>
        <v>2191.9</v>
      </c>
      <c r="L116" s="102">
        <f xml:space="preserve"> INPUTS│Outcomes!L91</f>
        <v>2214.9989240740433</v>
      </c>
      <c r="O116" s="296"/>
      <c r="R116" s="296"/>
    </row>
    <row r="117" spans="2:19" s="294" customFormat="1" outlineLevel="1" x14ac:dyDescent="0.3">
      <c r="C117" s="294" t="s">
        <v>114</v>
      </c>
      <c r="D117" s="295" t="s">
        <v>129</v>
      </c>
      <c r="E117" s="102">
        <f xml:space="preserve"> INPUTS│Outcomes!E92</f>
        <v>1565.5549999999998</v>
      </c>
      <c r="F117" s="102">
        <f xml:space="preserve"> INPUTS│Outcomes!F92</f>
        <v>1588.1220000000001</v>
      </c>
      <c r="G117" s="102">
        <f xml:space="preserve"> INPUTS│Outcomes!G92</f>
        <v>1600.441</v>
      </c>
      <c r="H117" s="102">
        <f xml:space="preserve"> INPUTS│Outcomes!H92</f>
        <v>1609.164</v>
      </c>
      <c r="I117" s="102">
        <f xml:space="preserve"> INPUTS│Outcomes!I92</f>
        <v>1618.405</v>
      </c>
      <c r="J117" s="102">
        <f xml:space="preserve"> INPUTS│Outcomes!J92</f>
        <v>1640.2669999999998</v>
      </c>
      <c r="K117" s="102">
        <f xml:space="preserve"> INPUTS│Outcomes!K92</f>
        <v>1664.99</v>
      </c>
      <c r="L117" s="102">
        <f xml:space="preserve"> INPUTS│Outcomes!L92</f>
        <v>1685.71</v>
      </c>
      <c r="O117" s="296"/>
      <c r="R117" s="296"/>
    </row>
    <row r="118" spans="2:19" s="294" customFormat="1" outlineLevel="1" x14ac:dyDescent="0.3">
      <c r="C118" s="294" t="s">
        <v>110</v>
      </c>
      <c r="D118" s="295" t="s">
        <v>129</v>
      </c>
      <c r="E118" s="102">
        <f xml:space="preserve"> INPUTS│Outcomes!E93</f>
        <v>642.67640000000006</v>
      </c>
      <c r="F118" s="102">
        <f xml:space="preserve"> INPUTS│Outcomes!F93</f>
        <v>657.43970000000002</v>
      </c>
      <c r="G118" s="102">
        <f xml:space="preserve"> INPUTS│Outcomes!G93</f>
        <v>672.17272424660814</v>
      </c>
      <c r="H118" s="102">
        <f xml:space="preserve"> INPUTS│Outcomes!H93</f>
        <v>674.29108374132181</v>
      </c>
      <c r="I118" s="102">
        <f xml:space="preserve"> INPUTS│Outcomes!I93</f>
        <v>674.79852642443427</v>
      </c>
      <c r="J118" s="102">
        <f xml:space="preserve"> INPUTS│Outcomes!J93</f>
        <v>694.58356932151537</v>
      </c>
      <c r="K118" s="102">
        <f xml:space="preserve"> INPUTS│Outcomes!K93</f>
        <v>700.43820030486677</v>
      </c>
      <c r="L118" s="102">
        <f xml:space="preserve"> INPUTS│Outcomes!L93</f>
        <v>727.03434244285791</v>
      </c>
      <c r="O118" s="296"/>
      <c r="R118" s="296"/>
    </row>
    <row r="119" spans="2:19" s="294" customFormat="1" outlineLevel="1" x14ac:dyDescent="0.3">
      <c r="D119" s="295"/>
      <c r="O119" s="296"/>
      <c r="R119" s="296"/>
    </row>
    <row r="120" spans="2:19" s="294" customFormat="1" outlineLevel="1" x14ac:dyDescent="0.3">
      <c r="C120" s="300" t="s">
        <v>424</v>
      </c>
      <c r="D120" s="301" t="s">
        <v>129</v>
      </c>
      <c r="E120" s="102">
        <f>SUM(E102:E118)</f>
        <v>54872.083046224136</v>
      </c>
      <c r="F120" s="102">
        <f t="shared" ref="F120:L120" si="18">SUM(F102:F118)</f>
        <v>55194.781184532461</v>
      </c>
      <c r="G120" s="102">
        <f t="shared" si="18"/>
        <v>55697.566327200897</v>
      </c>
      <c r="H120" s="102">
        <f t="shared" si="18"/>
        <v>56202.193537860709</v>
      </c>
      <c r="I120" s="102">
        <f t="shared" si="18"/>
        <v>56457.922229849588</v>
      </c>
      <c r="J120" s="102">
        <f t="shared" si="18"/>
        <v>57051.48669947272</v>
      </c>
      <c r="K120" s="102">
        <f t="shared" si="18"/>
        <v>57752.266267000814</v>
      </c>
      <c r="L120" s="102">
        <f t="shared" si="18"/>
        <v>58421.386225734321</v>
      </c>
      <c r="O120" s="296"/>
      <c r="R120" s="296"/>
    </row>
    <row r="121" spans="2:19" s="294" customFormat="1" outlineLevel="1" x14ac:dyDescent="0.3">
      <c r="D121" s="295"/>
      <c r="O121" s="296"/>
      <c r="R121" s="296"/>
    </row>
    <row r="122" spans="2:19" ht="13.5" outlineLevel="1" x14ac:dyDescent="0.35">
      <c r="B122" s="31" t="s">
        <v>577</v>
      </c>
      <c r="C122" s="31"/>
      <c r="D122" s="28"/>
      <c r="E122" s="29"/>
      <c r="F122" s="29"/>
      <c r="G122" s="29"/>
      <c r="H122" s="29"/>
      <c r="I122" s="29"/>
      <c r="J122" s="29"/>
      <c r="K122" s="29"/>
      <c r="L122" s="29"/>
      <c r="M122" s="29"/>
      <c r="N122" s="29"/>
      <c r="O122" s="59"/>
      <c r="P122" s="29"/>
      <c r="Q122" s="29"/>
      <c r="R122" s="59"/>
      <c r="S122" s="29"/>
    </row>
    <row r="123" spans="2:19" s="294" customFormat="1" outlineLevel="1" x14ac:dyDescent="0.3">
      <c r="D123" s="295"/>
      <c r="O123" s="296"/>
      <c r="R123" s="296"/>
    </row>
    <row r="124" spans="2:19" s="294" customFormat="1" ht="37.5" outlineLevel="1" x14ac:dyDescent="0.3">
      <c r="D124" s="295"/>
      <c r="N124" s="297" t="s">
        <v>574</v>
      </c>
      <c r="O124" s="298" t="s">
        <v>576</v>
      </c>
      <c r="Q124" s="297" t="str">
        <f xml:space="preserve"> "Net change (from " &amp; Last_year &amp; ")"</f>
        <v>Net change (from 2018-19)</v>
      </c>
      <c r="R124" s="298" t="s">
        <v>576</v>
      </c>
    </row>
    <row r="125" spans="2:19" s="294" customFormat="1" outlineLevel="1" x14ac:dyDescent="0.3">
      <c r="C125" s="294" t="s">
        <v>80</v>
      </c>
      <c r="D125" s="295" t="s">
        <v>135</v>
      </c>
      <c r="E125" s="228">
        <f t="shared" ref="E125:L134" si="19" xml:space="preserve"> E80 * E102 / 1000</f>
        <v>591.2993100000001</v>
      </c>
      <c r="F125" s="228">
        <f t="shared" si="19"/>
        <v>603.65108148347997</v>
      </c>
      <c r="G125" s="228">
        <f t="shared" si="19"/>
        <v>598.72521678999999</v>
      </c>
      <c r="H125" s="228">
        <f t="shared" si="19"/>
        <v>607.30984015999991</v>
      </c>
      <c r="I125" s="228">
        <f t="shared" si="19"/>
        <v>612.71143177431759</v>
      </c>
      <c r="J125" s="228">
        <f t="shared" si="19"/>
        <v>620.49481379575309</v>
      </c>
      <c r="K125" s="228">
        <f t="shared" si="19"/>
        <v>631.26723945493609</v>
      </c>
      <c r="L125" s="228">
        <f t="shared" si="19"/>
        <v>633.56229555903997</v>
      </c>
      <c r="N125" s="54">
        <f t="shared" ref="N125:N140" si="20" xml:space="preserve"> INDEX( E125:L125, 1, MATCH( Year, $E$2:$L$2, 0 ) ) - E125</f>
        <v>42.262985559039862</v>
      </c>
      <c r="O125" s="299">
        <f t="shared" ref="O125:O140" si="21" xml:space="preserve"> IF( E125 = 0, "-", N125 / E125 )</f>
        <v>7.1474775708836619E-2</v>
      </c>
      <c r="Q125" s="54">
        <f t="shared" ref="Q125:Q141" si="22" xml:space="preserve"> INDEX( E125:L125, 1, MATCH( Year, $E$2:$L$2, 0 ) ) - INDEX( E125:L125, 1, MATCH( Last_year, $E$2:$L$2, 0 ) )</f>
        <v>2.2950561041038782</v>
      </c>
      <c r="R125" s="299">
        <f t="shared" ref="R125:R141" si="23" xml:space="preserve"> IF( INDEX( $E125:$L125, 1, MATCH( Last_year, $E$2:$L$2, 0 ) ) = 0, "-", Q125 / INDEX( $E125:$L125, 1, MATCH( Last_year, $E$2:$L$2, 0 ) ) )</f>
        <v>3.63563315290293E-3</v>
      </c>
    </row>
    <row r="126" spans="2:19" s="294" customFormat="1" outlineLevel="1" x14ac:dyDescent="0.3">
      <c r="C126" s="294" t="s">
        <v>82</v>
      </c>
      <c r="D126" s="295" t="s">
        <v>135</v>
      </c>
      <c r="E126" s="228">
        <f t="shared" si="19"/>
        <v>418.91166239999995</v>
      </c>
      <c r="F126" s="228">
        <f t="shared" si="19"/>
        <v>419.46720050000005</v>
      </c>
      <c r="G126" s="228">
        <f t="shared" si="19"/>
        <v>419.55294299999997</v>
      </c>
      <c r="H126" s="228">
        <f t="shared" si="19"/>
        <v>416.71185289999994</v>
      </c>
      <c r="I126" s="228">
        <f t="shared" si="19"/>
        <v>425.95174711999999</v>
      </c>
      <c r="J126" s="228">
        <f t="shared" si="19"/>
        <v>443.607041649</v>
      </c>
      <c r="K126" s="228">
        <f t="shared" si="19"/>
        <v>462.88784420999997</v>
      </c>
      <c r="L126" s="228">
        <f t="shared" si="19"/>
        <v>476.82671105999998</v>
      </c>
      <c r="N126" s="54">
        <f t="shared" si="20"/>
        <v>57.915048660000025</v>
      </c>
      <c r="O126" s="299">
        <f t="shared" si="21"/>
        <v>0.13825122062297598</v>
      </c>
      <c r="Q126" s="54">
        <f t="shared" si="22"/>
        <v>13.938866850000011</v>
      </c>
      <c r="R126" s="299">
        <f t="shared" si="23"/>
        <v>3.0112838399956592E-2</v>
      </c>
    </row>
    <row r="127" spans="2:19" s="294" customFormat="1" outlineLevel="1" x14ac:dyDescent="0.3">
      <c r="C127" s="294" t="s">
        <v>85</v>
      </c>
      <c r="D127" s="295" t="s">
        <v>135</v>
      </c>
      <c r="E127" s="228">
        <f t="shared" si="19"/>
        <v>33.924339843353437</v>
      </c>
      <c r="F127" s="228">
        <f t="shared" si="19"/>
        <v>34.634452172292676</v>
      </c>
      <c r="G127" s="228">
        <f t="shared" si="19"/>
        <v>33.833539690975151</v>
      </c>
      <c r="H127" s="228">
        <f t="shared" si="19"/>
        <v>35.248624500383244</v>
      </c>
      <c r="I127" s="228">
        <f t="shared" si="19"/>
        <v>35.393896394350001</v>
      </c>
      <c r="J127" s="228">
        <f t="shared" si="19"/>
        <v>35.64666257479999</v>
      </c>
      <c r="K127" s="228">
        <f t="shared" si="19"/>
        <v>30.636136640577963</v>
      </c>
      <c r="L127" s="228">
        <f t="shared" si="19"/>
        <v>29.600453070599844</v>
      </c>
      <c r="N127" s="54">
        <f t="shared" si="20"/>
        <v>-4.3238867727535926</v>
      </c>
      <c r="O127" s="299">
        <f t="shared" si="21"/>
        <v>-0.12745676976233752</v>
      </c>
      <c r="Q127" s="54">
        <f t="shared" si="22"/>
        <v>-1.0356835699781186</v>
      </c>
      <c r="R127" s="299">
        <f t="shared" si="23"/>
        <v>-3.3805945642843956E-2</v>
      </c>
    </row>
    <row r="128" spans="2:19" s="294" customFormat="1" outlineLevel="1" x14ac:dyDescent="0.3">
      <c r="C128" s="294" t="s">
        <v>87</v>
      </c>
      <c r="D128" s="295" t="s">
        <v>135</v>
      </c>
      <c r="E128" s="228">
        <f t="shared" si="19"/>
        <v>621.4428622123238</v>
      </c>
      <c r="F128" s="228">
        <f t="shared" si="19"/>
        <v>631.09085038148635</v>
      </c>
      <c r="G128" s="228">
        <f t="shared" si="19"/>
        <v>631.9987236882647</v>
      </c>
      <c r="H128" s="228">
        <f t="shared" si="19"/>
        <v>640.54778594619711</v>
      </c>
      <c r="I128" s="228">
        <f t="shared" si="19"/>
        <v>635.62545377889489</v>
      </c>
      <c r="J128" s="228">
        <f t="shared" si="19"/>
        <v>660.54024147638802</v>
      </c>
      <c r="K128" s="228">
        <f t="shared" si="19"/>
        <v>683.28126229282611</v>
      </c>
      <c r="L128" s="228">
        <f t="shared" si="19"/>
        <v>673.60770503864296</v>
      </c>
      <c r="N128" s="54">
        <f t="shared" si="20"/>
        <v>52.164842826319159</v>
      </c>
      <c r="O128" s="299">
        <f t="shared" si="21"/>
        <v>8.39414948634431E-2</v>
      </c>
      <c r="Q128" s="54">
        <f t="shared" si="22"/>
        <v>-9.6735572541831516</v>
      </c>
      <c r="R128" s="299">
        <f t="shared" si="23"/>
        <v>-1.4157504073392056E-2</v>
      </c>
    </row>
    <row r="129" spans="3:18" s="294" customFormat="1" outlineLevel="1" x14ac:dyDescent="0.3">
      <c r="C129" s="294" t="s">
        <v>89</v>
      </c>
      <c r="D129" s="295" t="s">
        <v>135</v>
      </c>
      <c r="E129" s="228">
        <f t="shared" si="19"/>
        <v>943.57288459999995</v>
      </c>
      <c r="F129" s="228">
        <f t="shared" si="19"/>
        <v>975.12142634955319</v>
      </c>
      <c r="G129" s="228">
        <f t="shared" si="19"/>
        <v>953.74896396435861</v>
      </c>
      <c r="H129" s="228">
        <f t="shared" si="19"/>
        <v>988.90774725432539</v>
      </c>
      <c r="I129" s="228">
        <f t="shared" si="19"/>
        <v>1003.7341906869281</v>
      </c>
      <c r="J129" s="228">
        <f t="shared" si="19"/>
        <v>1024.144477623583</v>
      </c>
      <c r="K129" s="228">
        <f t="shared" si="19"/>
        <v>1081.5915250554256</v>
      </c>
      <c r="L129" s="228">
        <f t="shared" si="19"/>
        <v>1066.5030330479119</v>
      </c>
      <c r="N129" s="54">
        <f t="shared" si="20"/>
        <v>122.93014844791196</v>
      </c>
      <c r="O129" s="299">
        <f t="shared" si="21"/>
        <v>0.13028156113242337</v>
      </c>
      <c r="Q129" s="54">
        <f t="shared" si="22"/>
        <v>-15.088492007513651</v>
      </c>
      <c r="R129" s="299">
        <f t="shared" si="23"/>
        <v>-1.3950268338817141E-2</v>
      </c>
    </row>
    <row r="130" spans="3:18" s="294" customFormat="1" outlineLevel="1" x14ac:dyDescent="0.3">
      <c r="C130" s="294" t="s">
        <v>91</v>
      </c>
      <c r="D130" s="295" t="s">
        <v>135</v>
      </c>
      <c r="E130" s="228">
        <f t="shared" si="19"/>
        <v>274.6809232</v>
      </c>
      <c r="F130" s="228">
        <f t="shared" si="19"/>
        <v>278.66971153000003</v>
      </c>
      <c r="G130" s="228">
        <f t="shared" si="19"/>
        <v>275.25343409999999</v>
      </c>
      <c r="H130" s="228">
        <f t="shared" si="19"/>
        <v>283.50005490000001</v>
      </c>
      <c r="I130" s="228">
        <f t="shared" si="19"/>
        <v>288.17088604999998</v>
      </c>
      <c r="J130" s="228">
        <f t="shared" si="19"/>
        <v>300.00704710000002</v>
      </c>
      <c r="K130" s="228">
        <f t="shared" si="19"/>
        <v>332.07803796692917</v>
      </c>
      <c r="L130" s="228">
        <f t="shared" si="19"/>
        <v>331.25426470126223</v>
      </c>
      <c r="N130" s="54">
        <f t="shared" si="20"/>
        <v>56.573341501262234</v>
      </c>
      <c r="O130" s="299">
        <f t="shared" si="21"/>
        <v>0.20596021318914162</v>
      </c>
      <c r="Q130" s="54">
        <f t="shared" si="22"/>
        <v>-0.82377326566694364</v>
      </c>
      <c r="R130" s="299">
        <f t="shared" si="23"/>
        <v>-2.4806616863623518E-3</v>
      </c>
    </row>
    <row r="131" spans="3:18" s="294" customFormat="1" outlineLevel="1" x14ac:dyDescent="0.3">
      <c r="C131" s="294" t="s">
        <v>94</v>
      </c>
      <c r="D131" s="295" t="s">
        <v>135</v>
      </c>
      <c r="E131" s="228">
        <f t="shared" si="19"/>
        <v>334.13762640617489</v>
      </c>
      <c r="F131" s="228">
        <f t="shared" si="19"/>
        <v>336.22867379999997</v>
      </c>
      <c r="G131" s="228">
        <f t="shared" si="19"/>
        <v>324.52670361843218</v>
      </c>
      <c r="H131" s="228">
        <f t="shared" si="19"/>
        <v>314.49772798720738</v>
      </c>
      <c r="I131" s="228">
        <f t="shared" si="19"/>
        <v>320.69739627779285</v>
      </c>
      <c r="J131" s="228">
        <f t="shared" si="19"/>
        <v>319.12848946505693</v>
      </c>
      <c r="K131" s="228">
        <f t="shared" si="19"/>
        <v>324.05390140025071</v>
      </c>
      <c r="L131" s="228">
        <f t="shared" si="19"/>
        <v>318.90727512361116</v>
      </c>
      <c r="N131" s="54">
        <f t="shared" si="20"/>
        <v>-15.230351282563731</v>
      </c>
      <c r="O131" s="299">
        <f t="shared" si="21"/>
        <v>-4.5581072225759585E-2</v>
      </c>
      <c r="Q131" s="54">
        <f t="shared" si="22"/>
        <v>-5.1466262766395516</v>
      </c>
      <c r="R131" s="299">
        <f t="shared" si="23"/>
        <v>-1.5882006834050631E-2</v>
      </c>
    </row>
    <row r="132" spans="3:18" s="294" customFormat="1" outlineLevel="1" x14ac:dyDescent="0.3">
      <c r="C132" s="294" t="s">
        <v>96</v>
      </c>
      <c r="D132" s="295" t="s">
        <v>135</v>
      </c>
      <c r="E132" s="228">
        <f t="shared" si="19"/>
        <v>1348.5969177000002</v>
      </c>
      <c r="F132" s="228">
        <f t="shared" si="19"/>
        <v>1376.565081</v>
      </c>
      <c r="G132" s="228">
        <f t="shared" si="19"/>
        <v>1371.2758079999999</v>
      </c>
      <c r="H132" s="228">
        <f t="shared" si="19"/>
        <v>1401.4120400659112</v>
      </c>
      <c r="I132" s="228">
        <f t="shared" si="19"/>
        <v>1431.4738080770001</v>
      </c>
      <c r="J132" s="228">
        <f t="shared" si="19"/>
        <v>1434.7317503463021</v>
      </c>
      <c r="K132" s="228">
        <f t="shared" si="19"/>
        <v>1438.8513413856838</v>
      </c>
      <c r="L132" s="228">
        <f t="shared" si="19"/>
        <v>1448.3875016790134</v>
      </c>
      <c r="N132" s="54">
        <f t="shared" si="20"/>
        <v>99.790583979013263</v>
      </c>
      <c r="O132" s="299">
        <f t="shared" si="21"/>
        <v>7.3995856485571485E-2</v>
      </c>
      <c r="Q132" s="54">
        <f t="shared" si="22"/>
        <v>9.5361602933296581</v>
      </c>
      <c r="R132" s="299">
        <f t="shared" si="23"/>
        <v>6.6276202544634476E-3</v>
      </c>
    </row>
    <row r="133" spans="3:18" s="294" customFormat="1" outlineLevel="1" x14ac:dyDescent="0.3">
      <c r="C133" s="294" t="s">
        <v>98</v>
      </c>
      <c r="D133" s="295" t="s">
        <v>135</v>
      </c>
      <c r="E133" s="228">
        <f t="shared" si="19"/>
        <v>859.12270773958335</v>
      </c>
      <c r="F133" s="228">
        <f t="shared" si="19"/>
        <v>868.65030548808443</v>
      </c>
      <c r="G133" s="228">
        <f t="shared" si="19"/>
        <v>873.1205357328879</v>
      </c>
      <c r="H133" s="228">
        <f t="shared" si="19"/>
        <v>872.93029035526774</v>
      </c>
      <c r="I133" s="228">
        <f t="shared" si="19"/>
        <v>883.89472318801029</v>
      </c>
      <c r="J133" s="228">
        <f t="shared" si="19"/>
        <v>900.59415594186623</v>
      </c>
      <c r="K133" s="228">
        <f t="shared" si="19"/>
        <v>917.31391217456462</v>
      </c>
      <c r="L133" s="228">
        <f t="shared" si="19"/>
        <v>909.92890565751884</v>
      </c>
      <c r="N133" s="54">
        <f t="shared" si="20"/>
        <v>50.806197917935492</v>
      </c>
      <c r="O133" s="299">
        <f t="shared" si="21"/>
        <v>5.9137300714132479E-2</v>
      </c>
      <c r="Q133" s="54">
        <f t="shared" si="22"/>
        <v>-7.385006517045781</v>
      </c>
      <c r="R133" s="299">
        <f t="shared" si="23"/>
        <v>-8.0506862689338748E-3</v>
      </c>
    </row>
    <row r="134" spans="3:18" s="294" customFormat="1" outlineLevel="1" x14ac:dyDescent="0.3">
      <c r="C134" s="294" t="s">
        <v>100</v>
      </c>
      <c r="D134" s="295" t="s">
        <v>135</v>
      </c>
      <c r="E134" s="228">
        <f t="shared" si="19"/>
        <v>171.93149099999999</v>
      </c>
      <c r="F134" s="228">
        <f t="shared" si="19"/>
        <v>175.54877999999999</v>
      </c>
      <c r="G134" s="228">
        <f t="shared" si="19"/>
        <v>177.01002799999998</v>
      </c>
      <c r="H134" s="228">
        <f t="shared" si="19"/>
        <v>179.455029225</v>
      </c>
      <c r="I134" s="228">
        <f t="shared" si="19"/>
        <v>184.61596623999998</v>
      </c>
      <c r="J134" s="228">
        <f t="shared" si="19"/>
        <v>188.7925524780014</v>
      </c>
      <c r="K134" s="228">
        <f t="shared" si="19"/>
        <v>195.62314353885603</v>
      </c>
      <c r="L134" s="228">
        <f t="shared" si="19"/>
        <v>194.67178434586739</v>
      </c>
      <c r="N134" s="54">
        <f t="shared" si="20"/>
        <v>22.7402933458674</v>
      </c>
      <c r="O134" s="299">
        <f t="shared" si="21"/>
        <v>0.13226368952891476</v>
      </c>
      <c r="Q134" s="54">
        <f t="shared" si="22"/>
        <v>-0.95135919298863314</v>
      </c>
      <c r="R134" s="299">
        <f t="shared" si="23"/>
        <v>-4.8632241348256812E-3</v>
      </c>
    </row>
    <row r="135" spans="3:18" s="294" customFormat="1" outlineLevel="1" x14ac:dyDescent="0.3">
      <c r="C135" s="294" t="s">
        <v>102</v>
      </c>
      <c r="D135" s="295" t="s">
        <v>135</v>
      </c>
      <c r="E135" s="228">
        <f t="shared" ref="E135:L141" si="24" xml:space="preserve"> E90 * E112 / 1000</f>
        <v>645.87148409999998</v>
      </c>
      <c r="F135" s="228">
        <f t="shared" si="24"/>
        <v>660.70999860000006</v>
      </c>
      <c r="G135" s="228">
        <f t="shared" si="24"/>
        <v>649.69107140000006</v>
      </c>
      <c r="H135" s="228">
        <f t="shared" si="24"/>
        <v>649.97901442999989</v>
      </c>
      <c r="I135" s="228">
        <f t="shared" si="24"/>
        <v>662.02831268</v>
      </c>
      <c r="J135" s="228">
        <f t="shared" si="24"/>
        <v>658.23747493000008</v>
      </c>
      <c r="K135" s="228">
        <f t="shared" si="24"/>
        <v>662.51060669000003</v>
      </c>
      <c r="L135" s="228">
        <f t="shared" si="24"/>
        <v>671.2897587299999</v>
      </c>
      <c r="N135" s="54">
        <f t="shared" si="20"/>
        <v>25.418274629999928</v>
      </c>
      <c r="O135" s="299">
        <f t="shared" si="21"/>
        <v>3.9355003674483989E-2</v>
      </c>
      <c r="Q135" s="54">
        <f t="shared" si="22"/>
        <v>8.7791520399998717</v>
      </c>
      <c r="R135" s="299">
        <f t="shared" si="23"/>
        <v>1.3251338093833396E-2</v>
      </c>
    </row>
    <row r="136" spans="3:18" s="294" customFormat="1" outlineLevel="1" x14ac:dyDescent="0.3">
      <c r="C136" s="294" t="s">
        <v>104</v>
      </c>
      <c r="D136" s="295" t="s">
        <v>135</v>
      </c>
      <c r="E136" s="228">
        <f t="shared" si="24"/>
        <v>508.73743772000006</v>
      </c>
      <c r="F136" s="228">
        <f t="shared" si="24"/>
        <v>543.0353145900001</v>
      </c>
      <c r="G136" s="228">
        <f t="shared" si="24"/>
        <v>534.65606766999997</v>
      </c>
      <c r="H136" s="228">
        <f t="shared" si="24"/>
        <v>540.75496488144358</v>
      </c>
      <c r="I136" s="228">
        <f t="shared" si="24"/>
        <v>551.06060132031587</v>
      </c>
      <c r="J136" s="228">
        <f t="shared" si="24"/>
        <v>561.05774580722891</v>
      </c>
      <c r="K136" s="228">
        <f t="shared" si="24"/>
        <v>564.87294999999995</v>
      </c>
      <c r="L136" s="228">
        <f t="shared" si="24"/>
        <v>577.51934644533674</v>
      </c>
      <c r="N136" s="54">
        <f t="shared" si="20"/>
        <v>68.781908725336677</v>
      </c>
      <c r="O136" s="299">
        <f t="shared" si="21"/>
        <v>0.1352011934360392</v>
      </c>
      <c r="Q136" s="54">
        <f t="shared" si="22"/>
        <v>12.646396445336791</v>
      </c>
      <c r="R136" s="299">
        <f t="shared" si="23"/>
        <v>2.2388036894556186E-2</v>
      </c>
    </row>
    <row r="137" spans="3:18" s="294" customFormat="1" outlineLevel="1" x14ac:dyDescent="0.3">
      <c r="C137" s="294" t="s">
        <v>106</v>
      </c>
      <c r="D137" s="295" t="s">
        <v>135</v>
      </c>
      <c r="E137" s="228">
        <f t="shared" si="24"/>
        <v>153.60842599999998</v>
      </c>
      <c r="F137" s="228">
        <f t="shared" si="24"/>
        <v>158.50805700000001</v>
      </c>
      <c r="G137" s="228">
        <f t="shared" si="24"/>
        <v>158.40901399999998</v>
      </c>
      <c r="H137" s="228">
        <f t="shared" si="24"/>
        <v>157.97401819999999</v>
      </c>
      <c r="I137" s="228">
        <f t="shared" si="24"/>
        <v>165.62253226999997</v>
      </c>
      <c r="J137" s="228">
        <f t="shared" si="24"/>
        <v>168.02679165999999</v>
      </c>
      <c r="K137" s="228">
        <f t="shared" si="24"/>
        <v>174.51860719000001</v>
      </c>
      <c r="L137" s="228">
        <f t="shared" si="24"/>
        <v>171.28252879999999</v>
      </c>
      <c r="N137" s="54">
        <f t="shared" si="20"/>
        <v>17.674102800000014</v>
      </c>
      <c r="O137" s="299">
        <f t="shared" si="21"/>
        <v>0.11505946164698033</v>
      </c>
      <c r="Q137" s="54">
        <f t="shared" si="22"/>
        <v>-3.2360783900000172</v>
      </c>
      <c r="R137" s="299">
        <f t="shared" si="23"/>
        <v>-1.854288457893128E-2</v>
      </c>
    </row>
    <row r="138" spans="3:18" s="294" customFormat="1" outlineLevel="1" x14ac:dyDescent="0.3">
      <c r="C138" s="294" t="s">
        <v>108</v>
      </c>
      <c r="D138" s="295" t="s">
        <v>135</v>
      </c>
      <c r="E138" s="228">
        <f t="shared" si="24"/>
        <v>100.27364344000001</v>
      </c>
      <c r="F138" s="228">
        <f t="shared" si="24"/>
        <v>102.7727883</v>
      </c>
      <c r="G138" s="228">
        <f t="shared" si="24"/>
        <v>101.60117350000003</v>
      </c>
      <c r="H138" s="228">
        <f t="shared" si="24"/>
        <v>101.54358927</v>
      </c>
      <c r="I138" s="228">
        <f t="shared" si="24"/>
        <v>102.66579213000001</v>
      </c>
      <c r="J138" s="228">
        <f t="shared" si="24"/>
        <v>105.05079558</v>
      </c>
      <c r="K138" s="228">
        <f t="shared" si="24"/>
        <v>110.22426073649554</v>
      </c>
      <c r="L138" s="228">
        <f t="shared" si="24"/>
        <v>111.93593498999999</v>
      </c>
      <c r="N138" s="54">
        <f t="shared" si="20"/>
        <v>11.662291549999978</v>
      </c>
      <c r="O138" s="299">
        <f t="shared" si="21"/>
        <v>0.11630465543997368</v>
      </c>
      <c r="Q138" s="54">
        <f t="shared" si="22"/>
        <v>1.7116742535044551</v>
      </c>
      <c r="R138" s="299">
        <f t="shared" si="23"/>
        <v>1.5529015500466091E-2</v>
      </c>
    </row>
    <row r="139" spans="3:18" s="294" customFormat="1" outlineLevel="1" x14ac:dyDescent="0.3">
      <c r="C139" s="294" t="s">
        <v>112</v>
      </c>
      <c r="D139" s="295" t="s">
        <v>135</v>
      </c>
      <c r="E139" s="228">
        <f t="shared" si="24"/>
        <v>320.04075945361166</v>
      </c>
      <c r="F139" s="228">
        <f t="shared" si="24"/>
        <v>320.92593653489331</v>
      </c>
      <c r="G139" s="228">
        <f t="shared" si="24"/>
        <v>327.56208512671844</v>
      </c>
      <c r="H139" s="228">
        <f t="shared" si="24"/>
        <v>337.54732513679085</v>
      </c>
      <c r="I139" s="228">
        <f t="shared" si="24"/>
        <v>324.78093486042599</v>
      </c>
      <c r="J139" s="228">
        <f t="shared" si="24"/>
        <v>325.4794590256426</v>
      </c>
      <c r="K139" s="228">
        <f t="shared" si="24"/>
        <v>332.81456686523313</v>
      </c>
      <c r="L139" s="228">
        <f t="shared" si="24"/>
        <v>331.15205009294982</v>
      </c>
      <c r="N139" s="54">
        <f t="shared" si="20"/>
        <v>11.111290639338165</v>
      </c>
      <c r="O139" s="299">
        <f t="shared" si="21"/>
        <v>3.4718361055972598E-2</v>
      </c>
      <c r="Q139" s="54">
        <f t="shared" si="22"/>
        <v>-1.6625167722833112</v>
      </c>
      <c r="R139" s="299">
        <f t="shared" si="23"/>
        <v>-4.995324537451858E-3</v>
      </c>
    </row>
    <row r="140" spans="3:18" s="294" customFormat="1" outlineLevel="1" x14ac:dyDescent="0.3">
      <c r="C140" s="294" t="s">
        <v>114</v>
      </c>
      <c r="D140" s="295" t="s">
        <v>135</v>
      </c>
      <c r="E140" s="228">
        <f t="shared" si="24"/>
        <v>203.13721360999998</v>
      </c>
      <c r="F140" s="228">
        <f t="shared" si="24"/>
        <v>208.59449370000004</v>
      </c>
      <c r="G140" s="228">
        <f t="shared" si="24"/>
        <v>206.91912919999999</v>
      </c>
      <c r="H140" s="228">
        <f t="shared" si="24"/>
        <v>208.53647133999999</v>
      </c>
      <c r="I140" s="228">
        <f t="shared" si="24"/>
        <v>210.14674289000001</v>
      </c>
      <c r="J140" s="228">
        <f t="shared" si="24"/>
        <v>218.30113928999995</v>
      </c>
      <c r="K140" s="228">
        <f t="shared" si="24"/>
        <v>227.11635785000001</v>
      </c>
      <c r="L140" s="228">
        <f t="shared" si="24"/>
        <v>216.72791051999999</v>
      </c>
      <c r="N140" s="54">
        <f t="shared" si="20"/>
        <v>13.59069691000002</v>
      </c>
      <c r="O140" s="299">
        <f t="shared" si="21"/>
        <v>6.690402348479875E-2</v>
      </c>
      <c r="Q140" s="54">
        <f t="shared" si="22"/>
        <v>-10.38844733000002</v>
      </c>
      <c r="R140" s="299">
        <f t="shared" si="23"/>
        <v>-4.5740638976172358E-2</v>
      </c>
    </row>
    <row r="141" spans="3:18" s="294" customFormat="1" outlineLevel="1" x14ac:dyDescent="0.3">
      <c r="C141" s="294" t="s">
        <v>110</v>
      </c>
      <c r="D141" s="295" t="s">
        <v>135</v>
      </c>
      <c r="E141" s="228">
        <f t="shared" si="24"/>
        <v>106.21832000000001</v>
      </c>
      <c r="F141" s="228">
        <f t="shared" si="24"/>
        <v>109.6178996</v>
      </c>
      <c r="G141" s="228">
        <f t="shared" si="24"/>
        <v>108.25304012591486</v>
      </c>
      <c r="H141" s="228">
        <f t="shared" si="24"/>
        <v>108.50756104238741</v>
      </c>
      <c r="I141" s="228">
        <f t="shared" si="24"/>
        <v>107.78770112307629</v>
      </c>
      <c r="J141" s="228">
        <f t="shared" si="24"/>
        <v>110.53128447305504</v>
      </c>
      <c r="K141" s="228">
        <f t="shared" si="24"/>
        <v>113.78157904995329</v>
      </c>
      <c r="L141" s="228">
        <f t="shared" si="24"/>
        <v>111.30533652640916</v>
      </c>
      <c r="N141" s="54">
        <f xml:space="preserve"> INDEX( E141:L141, 1, MATCH( Year, $E$2:$L$2, 0 ) ) - E141</f>
        <v>5.0870165264091582</v>
      </c>
      <c r="O141" s="299">
        <f xml:space="preserve"> IF( E141 = 0, "-", N141 / E141 )</f>
        <v>4.7892082330140015E-2</v>
      </c>
      <c r="Q141" s="54">
        <f t="shared" si="22"/>
        <v>-2.4762425235441299</v>
      </c>
      <c r="R141" s="299">
        <f t="shared" si="23"/>
        <v>-2.1763123206938358E-2</v>
      </c>
    </row>
    <row r="142" spans="3:18" s="294" customFormat="1" outlineLevel="1" x14ac:dyDescent="0.3">
      <c r="D142" s="295"/>
      <c r="O142" s="296"/>
      <c r="R142" s="296"/>
    </row>
    <row r="143" spans="3:18" s="294" customFormat="1" outlineLevel="1" x14ac:dyDescent="0.3">
      <c r="C143" s="300" t="s">
        <v>424</v>
      </c>
      <c r="D143" s="301" t="s">
        <v>135</v>
      </c>
      <c r="E143" s="102">
        <f>SUM(E125:E141)</f>
        <v>7635.5080094250479</v>
      </c>
      <c r="F143" s="102">
        <f t="shared" ref="F143:L143" si="25">SUM(F125:F141)</f>
        <v>7803.7920510297899</v>
      </c>
      <c r="G143" s="102">
        <f t="shared" si="25"/>
        <v>7746.1374776075509</v>
      </c>
      <c r="H143" s="102">
        <f t="shared" si="25"/>
        <v>7845.3639375949142</v>
      </c>
      <c r="I143" s="102">
        <f t="shared" si="25"/>
        <v>7946.3621168611107</v>
      </c>
      <c r="J143" s="102">
        <f t="shared" si="25"/>
        <v>8074.3719232166759</v>
      </c>
      <c r="K143" s="102">
        <f t="shared" si="25"/>
        <v>8283.42327250173</v>
      </c>
      <c r="L143" s="102">
        <f t="shared" si="25"/>
        <v>8274.4627953881627</v>
      </c>
      <c r="N143" s="54">
        <f xml:space="preserve"> INDEX( E143:L143, 1, MATCH( Year, $E$2:$L$2, 0 ) ) - E143</f>
        <v>638.95478596311477</v>
      </c>
      <c r="O143" s="299">
        <f xml:space="preserve"> IF( E143 = 0, "-", N143 / E143 )</f>
        <v>8.3682026811367063E-2</v>
      </c>
      <c r="Q143" s="54">
        <f xml:space="preserve"> INDEX( E143:L143, 1, MATCH( Year, $E$2:$L$2, 0 ) ) - INDEX( E143:L143, 1, MATCH( Last_year, $E$2:$L$2, 0 ) )</f>
        <v>-8.9604771135673218</v>
      </c>
      <c r="R143" s="299">
        <f xml:space="preserve"> IF( INDEX( $E143:$L143, 1, MATCH( Last_year, $E$2:$L$2, 0 ) ) = 0, "-", Q143 / INDEX( $E143:$L143, 1, MATCH( Last_year, $E$2:$L$2, 0 ) ) )</f>
        <v>-1.0817359947442491E-3</v>
      </c>
    </row>
    <row r="144" spans="3:18" s="294" customFormat="1" x14ac:dyDescent="0.3">
      <c r="D144" s="295"/>
      <c r="O144" s="296"/>
      <c r="R144" s="296"/>
    </row>
    <row r="145" spans="2:19" ht="13.5" x14ac:dyDescent="0.35">
      <c r="B145" s="9" t="s">
        <v>224</v>
      </c>
      <c r="C145" s="9"/>
      <c r="D145" s="10"/>
      <c r="E145" s="9"/>
      <c r="F145" s="9"/>
      <c r="G145" s="9"/>
      <c r="H145" s="9"/>
      <c r="I145" s="9"/>
      <c r="J145" s="9"/>
      <c r="K145" s="9"/>
      <c r="L145" s="9"/>
      <c r="M145" s="9"/>
      <c r="N145" s="9"/>
      <c r="O145" s="56"/>
      <c r="P145" s="9"/>
      <c r="Q145" s="9"/>
      <c r="R145" s="56"/>
      <c r="S145" s="9"/>
    </row>
    <row r="146" spans="2:19" outlineLevel="1" x14ac:dyDescent="0.3"/>
    <row r="147" spans="2:19" ht="13.5" outlineLevel="1" x14ac:dyDescent="0.35">
      <c r="B147" s="31" t="s">
        <v>432</v>
      </c>
      <c r="C147" s="31"/>
      <c r="D147" s="28"/>
      <c r="E147" s="29"/>
      <c r="F147" s="29"/>
      <c r="G147" s="29"/>
      <c r="H147" s="29"/>
      <c r="I147" s="29"/>
      <c r="J147" s="29"/>
      <c r="K147" s="29"/>
      <c r="L147" s="29"/>
      <c r="M147" s="29"/>
      <c r="N147" s="29"/>
      <c r="O147" s="59"/>
      <c r="P147" s="29"/>
      <c r="Q147" s="29"/>
      <c r="R147" s="59"/>
      <c r="S147" s="29"/>
    </row>
    <row r="148" spans="2:19" outlineLevel="1" x14ac:dyDescent="0.3"/>
    <row r="149" spans="2:19" ht="30" customHeight="1" outlineLevel="1" x14ac:dyDescent="0.3">
      <c r="N149" s="51" t="s">
        <v>574</v>
      </c>
      <c r="O149" s="52" t="s">
        <v>576</v>
      </c>
      <c r="Q149" s="51" t="str">
        <f xml:space="preserve"> "Net change (from " &amp; Last_year &amp; ")"</f>
        <v>Net change (from 2018-19)</v>
      </c>
      <c r="R149" s="142" t="s">
        <v>576</v>
      </c>
    </row>
    <row r="150" spans="2:19" outlineLevel="1" x14ac:dyDescent="0.3">
      <c r="C150" s="83" t="s">
        <v>80</v>
      </c>
      <c r="D150" s="11" t="s">
        <v>139</v>
      </c>
      <c r="E150" s="233">
        <f xml:space="preserve"> INPUTS│Outcomes!E101</f>
        <v>13.8</v>
      </c>
      <c r="F150" s="233">
        <f xml:space="preserve"> INPUTS│Outcomes!F101</f>
        <v>19.8</v>
      </c>
      <c r="G150" s="233">
        <f xml:space="preserve"> INPUTS│Outcomes!G101</f>
        <v>19.170000000000002</v>
      </c>
      <c r="H150" s="233">
        <f xml:space="preserve"> INPUTS│Outcomes!H101</f>
        <v>8.1999999999999993</v>
      </c>
      <c r="I150" s="233">
        <f xml:space="preserve"> INPUTS│Outcomes!I101</f>
        <v>11.72</v>
      </c>
      <c r="J150" s="233">
        <f xml:space="preserve"> INPUTS│Outcomes!J101</f>
        <v>7.4</v>
      </c>
      <c r="K150" s="233">
        <f xml:space="preserve"> INPUTS│Outcomes!K101</f>
        <v>8.73</v>
      </c>
      <c r="L150" s="233">
        <f xml:space="preserve"> INPUTS│Outcomes!L101</f>
        <v>18.649999999999999</v>
      </c>
      <c r="N150" s="14">
        <f t="shared" ref="N150:N165" si="26" xml:space="preserve"> INDEX( E150:L150, 1, MATCH( Year, $E$2:$L$2, 0 ) ) - E150</f>
        <v>4.8499999999999979</v>
      </c>
      <c r="O150" s="235">
        <f t="shared" ref="O150:O165" si="27" xml:space="preserve"> IF( E150 = 0, "-", N150 / E150 )</f>
        <v>0.35144927536231868</v>
      </c>
      <c r="Q150" s="14">
        <f t="shared" ref="Q150:Q166" si="28" xml:space="preserve"> INDEX( E150:L150, 1, MATCH( Year, $E$2:$L$2, 0 ) ) - INDEX( E150:L150, 1, MATCH( Last_year, $E$2:$L$2, 0 ) )</f>
        <v>9.9199999999999982</v>
      </c>
      <c r="R150" s="235">
        <f t="shared" ref="R150:R166" si="29" xml:space="preserve"> IF( INDEX( $E150:$L150, 1, MATCH( Last_year, $E$2:$L$2, 0 ) ) = 0, "-", Q150 / INDEX( $E150:$L150, 1, MATCH( Last_year, $E$2:$L$2, 0 ) ) )</f>
        <v>1.1363115693012598</v>
      </c>
    </row>
    <row r="151" spans="2:19" outlineLevel="1" x14ac:dyDescent="0.3">
      <c r="C151" s="83" t="s">
        <v>82</v>
      </c>
      <c r="D151" s="11" t="s">
        <v>139</v>
      </c>
      <c r="E151" s="233">
        <f xml:space="preserve"> INPUTS│Outcomes!E102</f>
        <v>53</v>
      </c>
      <c r="F151" s="233">
        <f xml:space="preserve"> INPUTS│Outcomes!F102</f>
        <v>50.6</v>
      </c>
      <c r="G151" s="233">
        <f xml:space="preserve"> INPUTS│Outcomes!G102</f>
        <v>23</v>
      </c>
      <c r="H151" s="233">
        <f xml:space="preserve"> INPUTS│Outcomes!H102</f>
        <v>21.7</v>
      </c>
      <c r="I151" s="233">
        <f xml:space="preserve"> INPUTS│Outcomes!I102</f>
        <v>12.15</v>
      </c>
      <c r="J151" s="233">
        <f xml:space="preserve"> INPUTS│Outcomes!J102</f>
        <v>43.3</v>
      </c>
      <c r="K151" s="233">
        <f xml:space="preserve"> INPUTS│Outcomes!K102</f>
        <v>16</v>
      </c>
      <c r="L151" s="233">
        <f xml:space="preserve"> INPUTS│Outcomes!L102</f>
        <v>14.7</v>
      </c>
      <c r="N151" s="14">
        <f t="shared" si="26"/>
        <v>-38.299999999999997</v>
      </c>
      <c r="O151" s="235">
        <f t="shared" si="27"/>
        <v>-0.72264150943396221</v>
      </c>
      <c r="Q151" s="14">
        <f t="shared" si="28"/>
        <v>-1.3000000000000007</v>
      </c>
      <c r="R151" s="235">
        <f t="shared" si="29"/>
        <v>-8.1250000000000044E-2</v>
      </c>
    </row>
    <row r="152" spans="2:19" outlineLevel="1" x14ac:dyDescent="0.3">
      <c r="C152" s="83" t="s">
        <v>85</v>
      </c>
      <c r="D152" s="11" t="s">
        <v>139</v>
      </c>
      <c r="E152" s="233">
        <f xml:space="preserve"> INPUTS│Outcomes!E103</f>
        <v>15.600000000000001</v>
      </c>
      <c r="F152" s="233">
        <f xml:space="preserve"> INPUTS│Outcomes!F103</f>
        <v>9</v>
      </c>
      <c r="G152" s="233">
        <f xml:space="preserve"> INPUTS│Outcomes!G103</f>
        <v>10.200000000000001</v>
      </c>
      <c r="H152" s="233">
        <f xml:space="preserve"> INPUTS│Outcomes!H103</f>
        <v>5.22</v>
      </c>
      <c r="I152" s="233">
        <f xml:space="preserve"> INPUTS│Outcomes!I103</f>
        <v>21</v>
      </c>
      <c r="J152" s="233">
        <f xml:space="preserve"> INPUTS│Outcomes!J103</f>
        <v>4.1666667000000004</v>
      </c>
      <c r="K152" s="233">
        <f xml:space="preserve"> INPUTS│Outcomes!K103</f>
        <v>29.166666666666668</v>
      </c>
      <c r="L152" s="233">
        <f xml:space="preserve"> INPUTS│Outcomes!L103</f>
        <v>16.89</v>
      </c>
      <c r="N152" s="14">
        <f t="shared" si="26"/>
        <v>1.2899999999999991</v>
      </c>
      <c r="O152" s="235">
        <f t="shared" si="27"/>
        <v>8.2692307692307634E-2</v>
      </c>
      <c r="Q152" s="14">
        <f t="shared" si="28"/>
        <v>-12.276666666666667</v>
      </c>
      <c r="R152" s="235">
        <f t="shared" si="29"/>
        <v>-0.42091428571428574</v>
      </c>
    </row>
    <row r="153" spans="2:19" outlineLevel="1" x14ac:dyDescent="0.3">
      <c r="C153" s="83" t="s">
        <v>87</v>
      </c>
      <c r="D153" s="11" t="s">
        <v>139</v>
      </c>
      <c r="E153" s="233">
        <f xml:space="preserve"> INPUTS│Outcomes!E104</f>
        <v>6.95</v>
      </c>
      <c r="F153" s="233">
        <f xml:space="preserve"> INPUTS│Outcomes!F104</f>
        <v>4.93</v>
      </c>
      <c r="G153" s="233">
        <f xml:space="preserve"> INPUTS│Outcomes!G104</f>
        <v>3.9333333333333362</v>
      </c>
      <c r="H153" s="233">
        <f xml:space="preserve"> INPUTS│Outcomes!H104</f>
        <v>3.3333333333333335</v>
      </c>
      <c r="I153" s="233">
        <f xml:space="preserve"> INPUTS│Outcomes!I104</f>
        <v>2.4333333333333336</v>
      </c>
      <c r="J153" s="233">
        <f xml:space="preserve"> INPUTS│Outcomes!J104</f>
        <v>5.3833333333333346</v>
      </c>
      <c r="K153" s="233">
        <f xml:space="preserve"> INPUTS│Outcomes!K104</f>
        <v>9.1999999999999993</v>
      </c>
      <c r="L153" s="233">
        <f xml:space="preserve"> INPUTS│Outcomes!L104</f>
        <v>6.1333333333333346</v>
      </c>
      <c r="N153" s="14">
        <f t="shared" si="26"/>
        <v>-0.81666666666666554</v>
      </c>
      <c r="O153" s="235">
        <f t="shared" si="27"/>
        <v>-0.11750599520383677</v>
      </c>
      <c r="Q153" s="14">
        <f t="shared" si="28"/>
        <v>-3.0666666666666647</v>
      </c>
      <c r="R153" s="235">
        <f t="shared" si="29"/>
        <v>-0.33333333333333315</v>
      </c>
    </row>
    <row r="154" spans="2:19" outlineLevel="1" x14ac:dyDescent="0.3">
      <c r="C154" s="83" t="s">
        <v>89</v>
      </c>
      <c r="D154" s="11" t="s">
        <v>139</v>
      </c>
      <c r="E154" s="233">
        <f xml:space="preserve"> INPUTS│Outcomes!E105</f>
        <v>28.799999999999997</v>
      </c>
      <c r="F154" s="233">
        <f xml:space="preserve"> INPUTS│Outcomes!F105</f>
        <v>15.600000000000001</v>
      </c>
      <c r="G154" s="233">
        <f xml:space="preserve"> INPUTS│Outcomes!G105</f>
        <v>10.00000000000002</v>
      </c>
      <c r="H154" s="233">
        <f xml:space="preserve"> INPUTS│Outcomes!H105</f>
        <v>11.17</v>
      </c>
      <c r="I154" s="233">
        <f xml:space="preserve"> INPUTS│Outcomes!I105</f>
        <v>10.130000000000001</v>
      </c>
      <c r="J154" s="233">
        <f xml:space="preserve"> INPUTS│Outcomes!J105</f>
        <v>34.283333333333331</v>
      </c>
      <c r="K154" s="233">
        <f xml:space="preserve"> INPUTS│Outcomes!K105</f>
        <v>18.883333333333333</v>
      </c>
      <c r="L154" s="233">
        <f xml:space="preserve"> INPUTS│Outcomes!L105</f>
        <v>7.25</v>
      </c>
      <c r="N154" s="14">
        <f t="shared" si="26"/>
        <v>-21.549999999999997</v>
      </c>
      <c r="O154" s="235">
        <f t="shared" si="27"/>
        <v>-0.74826388888888884</v>
      </c>
      <c r="Q154" s="14">
        <f t="shared" si="28"/>
        <v>-11.633333333333333</v>
      </c>
      <c r="R154" s="235">
        <f t="shared" si="29"/>
        <v>-0.61606354810238306</v>
      </c>
    </row>
    <row r="155" spans="2:19" outlineLevel="1" x14ac:dyDescent="0.3">
      <c r="C155" s="83" t="s">
        <v>91</v>
      </c>
      <c r="D155" s="11" t="s">
        <v>139</v>
      </c>
      <c r="E155" s="233">
        <f xml:space="preserve"> INPUTS│Outcomes!E106</f>
        <v>13.775960619585723</v>
      </c>
      <c r="F155" s="233">
        <f xml:space="preserve"> INPUTS│Outcomes!F106</f>
        <v>12.316693754029476</v>
      </c>
      <c r="G155" s="233">
        <f xml:space="preserve"> INPUTS│Outcomes!G106</f>
        <v>18.663164303696963</v>
      </c>
      <c r="H155" s="233">
        <f xml:space="preserve"> INPUTS│Outcomes!H106</f>
        <v>20.579533772547329</v>
      </c>
      <c r="I155" s="233">
        <f xml:space="preserve"> INPUTS│Outcomes!I106</f>
        <v>10.998082859149507</v>
      </c>
      <c r="J155" s="233">
        <f xml:space="preserve"> INPUTS│Outcomes!J106</f>
        <v>26.272543184342567</v>
      </c>
      <c r="K155" s="233">
        <f xml:space="preserve"> INPUTS│Outcomes!K106</f>
        <v>7.8795756149407836</v>
      </c>
      <c r="L155" s="233">
        <f xml:space="preserve"> INPUTS│Outcomes!L106</f>
        <v>9.7826519763273545</v>
      </c>
      <c r="N155" s="14">
        <f t="shared" si="26"/>
        <v>-3.9933086432583682</v>
      </c>
      <c r="O155" s="235">
        <f t="shared" si="27"/>
        <v>-0.28987514943828702</v>
      </c>
      <c r="Q155" s="14">
        <f t="shared" si="28"/>
        <v>1.9030763613865709</v>
      </c>
      <c r="R155" s="235">
        <f t="shared" si="29"/>
        <v>0.24152015976318197</v>
      </c>
    </row>
    <row r="156" spans="2:19" outlineLevel="1" x14ac:dyDescent="0.3">
      <c r="C156" s="83" t="s">
        <v>94</v>
      </c>
      <c r="D156" s="11" t="s">
        <v>139</v>
      </c>
      <c r="E156" s="233">
        <f xml:space="preserve"> INPUTS│Outcomes!E107</f>
        <v>18</v>
      </c>
      <c r="F156" s="233">
        <f xml:space="preserve"> INPUTS│Outcomes!F107</f>
        <v>10.799999999999999</v>
      </c>
      <c r="G156" s="233">
        <f xml:space="preserve"> INPUTS│Outcomes!G107</f>
        <v>6</v>
      </c>
      <c r="H156" s="233">
        <f xml:space="preserve"> INPUTS│Outcomes!H107</f>
        <v>12</v>
      </c>
      <c r="I156" s="233">
        <f xml:space="preserve"> INPUTS│Outcomes!I107</f>
        <v>7</v>
      </c>
      <c r="J156" s="233">
        <f xml:space="preserve"> INPUTS│Outcomes!J107</f>
        <v>16.77</v>
      </c>
      <c r="K156" s="233">
        <f xml:space="preserve"> INPUTS│Outcomes!K107</f>
        <v>7.38</v>
      </c>
      <c r="L156" s="233">
        <f xml:space="preserve"> INPUTS│Outcomes!L107</f>
        <v>11.27</v>
      </c>
      <c r="N156" s="14">
        <f t="shared" si="26"/>
        <v>-6.73</v>
      </c>
      <c r="O156" s="235">
        <f t="shared" si="27"/>
        <v>-0.37388888888888894</v>
      </c>
      <c r="Q156" s="14">
        <f t="shared" si="28"/>
        <v>3.8899999999999997</v>
      </c>
      <c r="R156" s="235">
        <f t="shared" si="29"/>
        <v>0.52710027100270995</v>
      </c>
    </row>
    <row r="157" spans="2:19" outlineLevel="1" x14ac:dyDescent="0.3">
      <c r="C157" s="83" t="s">
        <v>96</v>
      </c>
      <c r="D157" s="11" t="s">
        <v>139</v>
      </c>
      <c r="E157" s="233">
        <f xml:space="preserve"> INPUTS│Outcomes!E108</f>
        <v>13.44</v>
      </c>
      <c r="F157" s="233">
        <f xml:space="preserve"> INPUTS│Outcomes!F108</f>
        <v>11.76</v>
      </c>
      <c r="G157" s="233">
        <f xml:space="preserve"> INPUTS│Outcomes!G108</f>
        <v>11.1</v>
      </c>
      <c r="H157" s="233">
        <f xml:space="preserve"> INPUTS│Outcomes!H108</f>
        <v>15.54</v>
      </c>
      <c r="I157" s="233">
        <f xml:space="preserve"> INPUTS│Outcomes!I108</f>
        <v>10.666666666666666</v>
      </c>
      <c r="J157" s="233">
        <f xml:space="preserve"> INPUTS│Outcomes!J108</f>
        <v>28.9</v>
      </c>
      <c r="K157" s="233">
        <f xml:space="preserve"> INPUTS│Outcomes!K108</f>
        <v>22.049999999999997</v>
      </c>
      <c r="L157" s="233">
        <f xml:space="preserve"> INPUTS│Outcomes!L108</f>
        <v>22.049999999999997</v>
      </c>
      <c r="N157" s="14">
        <f t="shared" si="26"/>
        <v>8.6099999999999977</v>
      </c>
      <c r="O157" s="235">
        <f t="shared" si="27"/>
        <v>0.64062499999999989</v>
      </c>
      <c r="Q157" s="14">
        <f t="shared" si="28"/>
        <v>0</v>
      </c>
      <c r="R157" s="235">
        <f t="shared" si="29"/>
        <v>0</v>
      </c>
    </row>
    <row r="158" spans="2:19" outlineLevel="1" x14ac:dyDescent="0.3">
      <c r="C158" s="83" t="s">
        <v>98</v>
      </c>
      <c r="D158" s="11" t="s">
        <v>139</v>
      </c>
      <c r="E158" s="233">
        <f xml:space="preserve"> INPUTS│Outcomes!E109</f>
        <v>17.916666666666668</v>
      </c>
      <c r="F158" s="233">
        <f xml:space="preserve"> INPUTS│Outcomes!F109</f>
        <v>9.85</v>
      </c>
      <c r="G158" s="233">
        <f xml:space="preserve"> INPUTS│Outcomes!G109</f>
        <v>13.416666666666666</v>
      </c>
      <c r="H158" s="233">
        <f xml:space="preserve"> INPUTS│Outcomes!H109</f>
        <v>16.7</v>
      </c>
      <c r="I158" s="233">
        <f xml:space="preserve"> INPUTS│Outcomes!I109</f>
        <v>13.550000000000002</v>
      </c>
      <c r="J158" s="233">
        <f xml:space="preserve"> INPUTS│Outcomes!J109</f>
        <v>13.149999999999999</v>
      </c>
      <c r="K158" s="233">
        <f xml:space="preserve"> INPUTS│Outcomes!K109</f>
        <v>9.1666666666666661</v>
      </c>
      <c r="L158" s="233">
        <f xml:space="preserve"> INPUTS│Outcomes!L109</f>
        <v>10.183333333333334</v>
      </c>
      <c r="N158" s="14">
        <f t="shared" si="26"/>
        <v>-7.7333333333333343</v>
      </c>
      <c r="O158" s="235">
        <f t="shared" si="27"/>
        <v>-0.43162790697674419</v>
      </c>
      <c r="Q158" s="14">
        <f t="shared" si="28"/>
        <v>1.0166666666666675</v>
      </c>
      <c r="R158" s="235">
        <f t="shared" si="29"/>
        <v>0.11090909090909101</v>
      </c>
    </row>
    <row r="159" spans="2:19" outlineLevel="1" x14ac:dyDescent="0.3">
      <c r="C159" s="83" t="s">
        <v>100</v>
      </c>
      <c r="D159" s="11" t="s">
        <v>139</v>
      </c>
      <c r="E159" s="233">
        <f xml:space="preserve"> INPUTS│Outcomes!E110</f>
        <v>24</v>
      </c>
      <c r="F159" s="233">
        <f xml:space="preserve"> INPUTS│Outcomes!F110</f>
        <v>24</v>
      </c>
      <c r="G159" s="233">
        <f xml:space="preserve"> INPUTS│Outcomes!G110</f>
        <v>20.100000000000001</v>
      </c>
      <c r="H159" s="233">
        <f xml:space="preserve"> INPUTS│Outcomes!H110</f>
        <v>14.3</v>
      </c>
      <c r="I159" s="233">
        <f xml:space="preserve"> INPUTS│Outcomes!I110</f>
        <v>12.8</v>
      </c>
      <c r="J159" s="233">
        <f xml:space="preserve"> INPUTS│Outcomes!J110</f>
        <v>12.3</v>
      </c>
      <c r="K159" s="233">
        <f xml:space="preserve"> INPUTS│Outcomes!K110</f>
        <v>5.85</v>
      </c>
      <c r="L159" s="233">
        <f xml:space="preserve"> INPUTS│Outcomes!L110</f>
        <v>7.6</v>
      </c>
      <c r="N159" s="14">
        <f t="shared" si="26"/>
        <v>-16.399999999999999</v>
      </c>
      <c r="O159" s="235">
        <f t="shared" si="27"/>
        <v>-0.68333333333333324</v>
      </c>
      <c r="Q159" s="14">
        <f t="shared" si="28"/>
        <v>1.75</v>
      </c>
      <c r="R159" s="235">
        <f t="shared" si="29"/>
        <v>0.29914529914529914</v>
      </c>
    </row>
    <row r="160" spans="2:19" outlineLevel="1" x14ac:dyDescent="0.3">
      <c r="C160" s="83" t="s">
        <v>102</v>
      </c>
      <c r="D160" s="11" t="s">
        <v>139</v>
      </c>
      <c r="E160" s="233">
        <f xml:space="preserve"> INPUTS│Outcomes!E111</f>
        <v>10.200000000000001</v>
      </c>
      <c r="F160" s="233">
        <f xml:space="preserve"> INPUTS│Outcomes!F111</f>
        <v>10.200000000000001</v>
      </c>
      <c r="G160" s="233">
        <f xml:space="preserve"> INPUTS│Outcomes!G111</f>
        <v>9.48</v>
      </c>
      <c r="H160" s="233">
        <f xml:space="preserve"> INPUTS│Outcomes!H111</f>
        <v>12.89</v>
      </c>
      <c r="I160" s="233">
        <f xml:space="preserve"> INPUTS│Outcomes!I111</f>
        <v>9.7799999999999994</v>
      </c>
      <c r="J160" s="233">
        <f xml:space="preserve"> INPUTS│Outcomes!J111</f>
        <v>6.96</v>
      </c>
      <c r="K160" s="233">
        <f xml:space="preserve"> INPUTS│Outcomes!K111</f>
        <v>10.46</v>
      </c>
      <c r="L160" s="233">
        <f xml:space="preserve"> INPUTS│Outcomes!L111</f>
        <v>7.56</v>
      </c>
      <c r="N160" s="14">
        <f t="shared" si="26"/>
        <v>-2.6400000000000015</v>
      </c>
      <c r="O160" s="235">
        <f t="shared" si="27"/>
        <v>-0.25882352941176484</v>
      </c>
      <c r="Q160" s="14">
        <f t="shared" si="28"/>
        <v>-2.9000000000000012</v>
      </c>
      <c r="R160" s="235">
        <f t="shared" si="29"/>
        <v>-0.27724665391969416</v>
      </c>
    </row>
    <row r="161" spans="2:19" outlineLevel="1" x14ac:dyDescent="0.3">
      <c r="C161" s="83" t="s">
        <v>104</v>
      </c>
      <c r="D161" s="11" t="s">
        <v>139</v>
      </c>
      <c r="E161" s="233">
        <f xml:space="preserve"> INPUTS│Outcomes!E112</f>
        <v>19.461009774389957</v>
      </c>
      <c r="F161" s="233">
        <f xml:space="preserve"> INPUTS│Outcomes!F112</f>
        <v>22.71</v>
      </c>
      <c r="G161" s="233">
        <f xml:space="preserve"> INPUTS│Outcomes!G112</f>
        <v>27.05</v>
      </c>
      <c r="H161" s="233">
        <f xml:space="preserve"> INPUTS│Outcomes!H112</f>
        <v>17.916666666666668</v>
      </c>
      <c r="I161" s="233">
        <f xml:space="preserve"> INPUTS│Outcomes!I112</f>
        <v>21.11</v>
      </c>
      <c r="J161" s="233">
        <f xml:space="preserve"> INPUTS│Outcomes!J112</f>
        <v>32.9</v>
      </c>
      <c r="K161" s="233">
        <f xml:space="preserve"> INPUTS│Outcomes!K112</f>
        <v>12.72</v>
      </c>
      <c r="L161" s="233">
        <f xml:space="preserve"> INPUTS│Outcomes!L112</f>
        <v>13.6</v>
      </c>
      <c r="N161" s="14">
        <f t="shared" si="26"/>
        <v>-5.8610097743899576</v>
      </c>
      <c r="O161" s="235">
        <f t="shared" si="27"/>
        <v>-0.30116678642764222</v>
      </c>
      <c r="Q161" s="14">
        <f t="shared" si="28"/>
        <v>0.87999999999999901</v>
      </c>
      <c r="R161" s="235">
        <f t="shared" si="29"/>
        <v>6.9182389937106833E-2</v>
      </c>
    </row>
    <row r="162" spans="2:19" outlineLevel="1" x14ac:dyDescent="0.3">
      <c r="C162" s="83" t="s">
        <v>106</v>
      </c>
      <c r="D162" s="11" t="s">
        <v>139</v>
      </c>
      <c r="E162" s="233">
        <f xml:space="preserve"> INPUTS│Outcomes!E113</f>
        <v>23.580000000000002</v>
      </c>
      <c r="F162" s="233">
        <f xml:space="preserve"> INPUTS│Outcomes!F113</f>
        <v>23.46</v>
      </c>
      <c r="G162" s="233">
        <f xml:space="preserve"> INPUTS│Outcomes!G113</f>
        <v>156.54</v>
      </c>
      <c r="H162" s="233">
        <f xml:space="preserve"> INPUTS│Outcomes!H113</f>
        <v>15.866666666666667</v>
      </c>
      <c r="I162" s="233">
        <f xml:space="preserve"> INPUTS│Outcomes!I113</f>
        <v>12.566666666666666</v>
      </c>
      <c r="J162" s="233">
        <f xml:space="preserve"> INPUTS│Outcomes!J113</f>
        <v>75.983333333333348</v>
      </c>
      <c r="K162" s="233">
        <f xml:space="preserve"> INPUTS│Outcomes!K113</f>
        <v>15.016666666666664</v>
      </c>
      <c r="L162" s="233">
        <f xml:space="preserve"> INPUTS│Outcomes!L113</f>
        <v>9.2833333333333332</v>
      </c>
      <c r="N162" s="14">
        <f t="shared" si="26"/>
        <v>-14.296666666666669</v>
      </c>
      <c r="O162" s="235">
        <f t="shared" si="27"/>
        <v>-0.60630477806050331</v>
      </c>
      <c r="Q162" s="14">
        <f t="shared" si="28"/>
        <v>-5.7333333333333307</v>
      </c>
      <c r="R162" s="235">
        <f t="shared" si="29"/>
        <v>-0.38179800221975574</v>
      </c>
    </row>
    <row r="163" spans="2:19" outlineLevel="1" x14ac:dyDescent="0.3">
      <c r="C163" s="83" t="s">
        <v>108</v>
      </c>
      <c r="D163" s="11" t="s">
        <v>139</v>
      </c>
      <c r="E163" s="233">
        <f xml:space="preserve"> INPUTS│Outcomes!E114</f>
        <v>4.0200000000000005</v>
      </c>
      <c r="F163" s="233">
        <f xml:space="preserve"> INPUTS│Outcomes!F114</f>
        <v>5.1599999999999993</v>
      </c>
      <c r="G163" s="233">
        <f xml:space="preserve"> INPUTS│Outcomes!G114</f>
        <v>8.7333333333333325</v>
      </c>
      <c r="H163" s="233">
        <f xml:space="preserve"> INPUTS│Outcomes!H114</f>
        <v>3.5</v>
      </c>
      <c r="I163" s="233">
        <f xml:space="preserve"> INPUTS│Outcomes!I114</f>
        <v>4.1500000000000004</v>
      </c>
      <c r="J163" s="233">
        <f xml:space="preserve"> INPUTS│Outcomes!J114</f>
        <v>4.2833333333333332</v>
      </c>
      <c r="K163" s="233">
        <f xml:space="preserve"> INPUTS│Outcomes!K114</f>
        <v>3.9000000000000004</v>
      </c>
      <c r="L163" s="233">
        <f xml:space="preserve"> INPUTS│Outcomes!L114</f>
        <v>3.3666666666666667</v>
      </c>
      <c r="N163" s="14">
        <f t="shared" si="26"/>
        <v>-0.65333333333333377</v>
      </c>
      <c r="O163" s="235">
        <f t="shared" si="27"/>
        <v>-0.16252072968490888</v>
      </c>
      <c r="Q163" s="14">
        <f t="shared" si="28"/>
        <v>-0.53333333333333366</v>
      </c>
      <c r="R163" s="235">
        <f t="shared" si="29"/>
        <v>-0.13675213675213682</v>
      </c>
    </row>
    <row r="164" spans="2:19" outlineLevel="1" x14ac:dyDescent="0.3">
      <c r="C164" s="83" t="s">
        <v>112</v>
      </c>
      <c r="D164" s="11" t="s">
        <v>139</v>
      </c>
      <c r="E164" s="233">
        <f xml:space="preserve"> INPUTS│Outcomes!E115</f>
        <v>13.2</v>
      </c>
      <c r="F164" s="233">
        <f xml:space="preserve"> INPUTS│Outcomes!F115</f>
        <v>16.200000000000003</v>
      </c>
      <c r="G164" s="233">
        <f xml:space="preserve"> INPUTS│Outcomes!G115</f>
        <v>8</v>
      </c>
      <c r="H164" s="233">
        <f xml:space="preserve"> INPUTS│Outcomes!H115</f>
        <v>32.049999999999997</v>
      </c>
      <c r="I164" s="233">
        <f xml:space="preserve"> INPUTS│Outcomes!I115</f>
        <v>12.9</v>
      </c>
      <c r="J164" s="233">
        <f xml:space="preserve"> INPUTS│Outcomes!J115</f>
        <v>44.6</v>
      </c>
      <c r="K164" s="233">
        <f xml:space="preserve"> INPUTS│Outcomes!K115</f>
        <v>14.2</v>
      </c>
      <c r="L164" s="233">
        <f xml:space="preserve"> INPUTS│Outcomes!L115</f>
        <v>10</v>
      </c>
      <c r="N164" s="14">
        <f t="shared" si="26"/>
        <v>-3.1999999999999993</v>
      </c>
      <c r="O164" s="235">
        <f t="shared" si="27"/>
        <v>-0.24242424242424238</v>
      </c>
      <c r="Q164" s="14">
        <f t="shared" si="28"/>
        <v>-4.1999999999999993</v>
      </c>
      <c r="R164" s="235">
        <f t="shared" si="29"/>
        <v>-0.29577464788732388</v>
      </c>
    </row>
    <row r="165" spans="2:19" outlineLevel="1" x14ac:dyDescent="0.3">
      <c r="C165" s="83" t="s">
        <v>114</v>
      </c>
      <c r="D165" s="11" t="s">
        <v>139</v>
      </c>
      <c r="E165" s="233">
        <f xml:space="preserve"> INPUTS│Outcomes!E116</f>
        <v>9.8436305366024133</v>
      </c>
      <c r="F165" s="233">
        <f xml:space="preserve"> INPUTS│Outcomes!F116</f>
        <v>9</v>
      </c>
      <c r="G165" s="233">
        <f xml:space="preserve"> INPUTS│Outcomes!G116</f>
        <v>8.2467621734578476</v>
      </c>
      <c r="H165" s="233">
        <f xml:space="preserve"> INPUTS│Outcomes!H116</f>
        <v>4.2333333333333334</v>
      </c>
      <c r="I165" s="233">
        <f xml:space="preserve"> INPUTS│Outcomes!I116</f>
        <v>5.1802000000000001</v>
      </c>
      <c r="J165" s="233">
        <f xml:space="preserve"> INPUTS│Outcomes!J116</f>
        <v>8.5319000000000003</v>
      </c>
      <c r="K165" s="233">
        <f xml:space="preserve"> INPUTS│Outcomes!K116</f>
        <v>7.15</v>
      </c>
      <c r="L165" s="233">
        <f xml:space="preserve"> INPUTS│Outcomes!L116</f>
        <v>3.35</v>
      </c>
      <c r="N165" s="14">
        <f t="shared" si="26"/>
        <v>-6.4936305366024136</v>
      </c>
      <c r="O165" s="235">
        <f t="shared" si="27"/>
        <v>-0.65967840955190182</v>
      </c>
      <c r="Q165" s="14">
        <f t="shared" si="28"/>
        <v>-3.8000000000000003</v>
      </c>
      <c r="R165" s="235">
        <f t="shared" si="29"/>
        <v>-0.53146853146853146</v>
      </c>
    </row>
    <row r="166" spans="2:19" outlineLevel="1" x14ac:dyDescent="0.3">
      <c r="C166" s="83" t="s">
        <v>110</v>
      </c>
      <c r="D166" s="11" t="s">
        <v>139</v>
      </c>
      <c r="E166" s="233">
        <f xml:space="preserve"> INPUTS│Outcomes!E117</f>
        <v>15</v>
      </c>
      <c r="F166" s="233">
        <f xml:space="preserve"> INPUTS│Outcomes!F117</f>
        <v>13.44</v>
      </c>
      <c r="G166" s="233">
        <f xml:space="preserve"> INPUTS│Outcomes!G117</f>
        <v>28.799999999999997</v>
      </c>
      <c r="H166" s="233">
        <f xml:space="preserve"> INPUTS│Outcomes!H117</f>
        <v>6</v>
      </c>
      <c r="I166" s="233">
        <f xml:space="preserve"> INPUTS│Outcomes!I117</f>
        <v>4.38</v>
      </c>
      <c r="J166" s="233">
        <f xml:space="preserve"> INPUTS│Outcomes!J117</f>
        <v>3</v>
      </c>
      <c r="K166" s="233">
        <f xml:space="preserve"> INPUTS│Outcomes!K117</f>
        <v>16.200000000000003</v>
      </c>
      <c r="L166" s="233">
        <f xml:space="preserve"> INPUTS│Outcomes!L117</f>
        <v>1.2</v>
      </c>
      <c r="N166" s="14">
        <f xml:space="preserve"> INDEX( E166:L166, 1, MATCH( Year, $E$2:$L$2, 0 ) ) - E166</f>
        <v>-13.8</v>
      </c>
      <c r="O166" s="235">
        <f xml:space="preserve"> IF( E166 = 0, "-", N166 / E166 )</f>
        <v>-0.92</v>
      </c>
      <c r="Q166" s="14">
        <f t="shared" si="28"/>
        <v>-15.000000000000004</v>
      </c>
      <c r="R166" s="235">
        <f t="shared" si="29"/>
        <v>-0.92592592592592593</v>
      </c>
    </row>
    <row r="167" spans="2:19" outlineLevel="1" x14ac:dyDescent="0.3"/>
    <row r="168" spans="2:19" outlineLevel="1" x14ac:dyDescent="0.3">
      <c r="C168" s="12" t="s">
        <v>451</v>
      </c>
      <c r="D168" s="13" t="s">
        <v>139</v>
      </c>
      <c r="E168" s="14">
        <f xml:space="preserve"> IFERROR( SUMPRODUCT( E150:E166, E172:E188 ) / E190, 0 )</f>
        <v>18.403747556932306</v>
      </c>
      <c r="F168" s="14">
        <f t="shared" ref="F168:L168" si="30" xml:space="preserve"> IFERROR( SUMPRODUCT( F150:F166, F172:F188 ) / F190, 0 )</f>
        <v>15.367799836254441</v>
      </c>
      <c r="G168" s="14">
        <f t="shared" si="30"/>
        <v>16.056692571299681</v>
      </c>
      <c r="H168" s="14">
        <f t="shared" si="30"/>
        <v>13.79321385845717</v>
      </c>
      <c r="I168" s="14">
        <f t="shared" si="30"/>
        <v>10.789731647240721</v>
      </c>
      <c r="J168" s="14">
        <f t="shared" si="30"/>
        <v>22.342067515177202</v>
      </c>
      <c r="K168" s="14">
        <f xml:space="preserve"> IFERROR( SUMPRODUCT( K150:K166, K172:K188 ) / K190, 0 )</f>
        <v>13.231926443361266</v>
      </c>
      <c r="L168" s="14">
        <f t="shared" si="30"/>
        <v>11.748844063552031</v>
      </c>
      <c r="N168" s="14">
        <f xml:space="preserve"> INDEX( E168:L168, 1, MATCH( Year, $E$2:$L$2, 0 ) ) - E168</f>
        <v>-6.6549034933802744</v>
      </c>
      <c r="O168" s="235">
        <f xml:space="preserve"> IF( E168 = 0, "-", N168 / E168 )</f>
        <v>-0.36160588884373779</v>
      </c>
      <c r="Q168" s="14">
        <f xml:space="preserve"> INDEX( E168:L168, 1, MATCH( Year, $E$2:$L$2, 0 ) ) - INDEX( E168:L168, 1, MATCH( Last_year, $E$2:$L$2, 0 ) )</f>
        <v>-1.4830823798092343</v>
      </c>
      <c r="R168" s="235">
        <f xml:space="preserve"> IF( INDEX( $E168:$L168, 1, MATCH( Last_year, $E$2:$L$2, 0 ) ) = 0, "-", Q168 / INDEX( $E168:$L168, 1, MATCH( Last_year, $E$2:$L$2, 0 ) ) )</f>
        <v>-0.11208363242929965</v>
      </c>
    </row>
    <row r="169" spans="2:19" outlineLevel="1" x14ac:dyDescent="0.3"/>
    <row r="170" spans="2:19" ht="13.5" outlineLevel="1" x14ac:dyDescent="0.35">
      <c r="B170" s="31" t="s">
        <v>452</v>
      </c>
      <c r="C170" s="31"/>
      <c r="D170" s="28"/>
      <c r="E170" s="29"/>
      <c r="F170" s="29"/>
      <c r="G170" s="29"/>
      <c r="H170" s="29"/>
      <c r="I170" s="29"/>
      <c r="J170" s="29"/>
      <c r="K170" s="29"/>
      <c r="L170" s="29"/>
      <c r="M170" s="29"/>
      <c r="N170" s="29"/>
      <c r="O170" s="59"/>
      <c r="P170" s="29"/>
      <c r="Q170" s="29"/>
      <c r="R170" s="59"/>
      <c r="S170" s="29"/>
    </row>
    <row r="171" spans="2:19" outlineLevel="1" x14ac:dyDescent="0.3"/>
    <row r="172" spans="2:19" outlineLevel="1" x14ac:dyDescent="0.3">
      <c r="C172" s="8" t="s">
        <v>80</v>
      </c>
      <c r="D172" s="16" t="s">
        <v>129</v>
      </c>
      <c r="E172" s="53">
        <f xml:space="preserve"> INPUTS│Outcomes!E123</f>
        <v>2104.6220000000003</v>
      </c>
      <c r="F172" s="53">
        <f xml:space="preserve"> INPUTS│Outcomes!F123</f>
        <v>2120.2249999999999</v>
      </c>
      <c r="G172" s="53">
        <f xml:space="preserve"> INPUTS│Outcomes!G123</f>
        <v>2137.9169999999999</v>
      </c>
      <c r="H172" s="53">
        <f xml:space="preserve"> INPUTS│Outcomes!H123</f>
        <v>2154.5810000000001</v>
      </c>
      <c r="I172" s="53">
        <f xml:space="preserve"> INPUTS│Outcomes!I123</f>
        <v>2160.277</v>
      </c>
      <c r="J172" s="53">
        <f xml:space="preserve"> INPUTS│Outcomes!J123</f>
        <v>2195.7190000000001</v>
      </c>
      <c r="K172" s="53">
        <f xml:space="preserve"> INPUTS│Outcomes!K123</f>
        <v>2218.665</v>
      </c>
      <c r="L172" s="53">
        <f xml:space="preserve"> INPUTS│Outcomes!L123</f>
        <v>2244.4090000000001</v>
      </c>
    </row>
    <row r="173" spans="2:19" outlineLevel="1" x14ac:dyDescent="0.3">
      <c r="C173" s="8" t="s">
        <v>82</v>
      </c>
      <c r="D173" s="16" t="s">
        <v>129</v>
      </c>
      <c r="E173" s="53">
        <f xml:space="preserve"> INPUTS│Outcomes!E124</f>
        <v>1398.7240000000002</v>
      </c>
      <c r="F173" s="53">
        <f xml:space="preserve"> INPUTS│Outcomes!F124</f>
        <v>1403.8110000000001</v>
      </c>
      <c r="G173" s="53">
        <f xml:space="preserve"> INPUTS│Outcomes!G124</f>
        <v>1408.011</v>
      </c>
      <c r="H173" s="53">
        <f xml:space="preserve"> INPUTS│Outcomes!H124</f>
        <v>1417.0030000000002</v>
      </c>
      <c r="I173" s="53">
        <f xml:space="preserve"> INPUTS│Outcomes!I124</f>
        <v>1424.962</v>
      </c>
      <c r="J173" s="53">
        <f xml:space="preserve"> INPUTS│Outcomes!J124</f>
        <v>1433.501</v>
      </c>
      <c r="K173" s="53">
        <f xml:space="preserve"> INPUTS│Outcomes!K124</f>
        <v>1441.768</v>
      </c>
      <c r="L173" s="53">
        <f xml:space="preserve"> INPUTS│Outcomes!L124</f>
        <v>1451.3249999999998</v>
      </c>
    </row>
    <row r="174" spans="2:19" outlineLevel="1" x14ac:dyDescent="0.3">
      <c r="C174" s="8" t="s">
        <v>85</v>
      </c>
      <c r="D174" s="16" t="s">
        <v>129</v>
      </c>
      <c r="E174" s="53">
        <f xml:space="preserve"> INPUTS│Outcomes!E125</f>
        <v>124.08499999999999</v>
      </c>
      <c r="F174" s="53">
        <f xml:space="preserve"> INPUTS│Outcomes!F125</f>
        <v>124.748</v>
      </c>
      <c r="G174" s="53">
        <f xml:space="preserve"> INPUTS│Outcomes!G125</f>
        <v>125.63799999999999</v>
      </c>
      <c r="H174" s="53">
        <f xml:space="preserve"> INPUTS│Outcomes!H125</f>
        <v>126.64100000000001</v>
      </c>
      <c r="I174" s="53">
        <f xml:space="preserve"> INPUTS│Outcomes!I125</f>
        <v>127.423</v>
      </c>
      <c r="J174" s="53">
        <f xml:space="preserve"> INPUTS│Outcomes!J125</f>
        <v>127.92999999999999</v>
      </c>
      <c r="K174" s="53">
        <f xml:space="preserve"> INPUTS│Outcomes!K125</f>
        <v>104.97399999999999</v>
      </c>
      <c r="L174" s="53">
        <f xml:space="preserve"> INPUTS│Outcomes!L125</f>
        <v>105.32900000000001</v>
      </c>
    </row>
    <row r="175" spans="2:19" outlineLevel="1" x14ac:dyDescent="0.3">
      <c r="C175" s="8" t="s">
        <v>87</v>
      </c>
      <c r="D175" s="16" t="s">
        <v>129</v>
      </c>
      <c r="E175" s="53">
        <f xml:space="preserve"> INPUTS│Outcomes!E126</f>
        <v>1965.192</v>
      </c>
      <c r="F175" s="53">
        <f xml:space="preserve"> INPUTS│Outcomes!F126</f>
        <v>1972.577</v>
      </c>
      <c r="G175" s="53">
        <f xml:space="preserve"> INPUTS│Outcomes!G126</f>
        <v>1984.55</v>
      </c>
      <c r="H175" s="53">
        <f xml:space="preserve"> INPUTS│Outcomes!H126</f>
        <v>2005.971</v>
      </c>
      <c r="I175" s="53">
        <f xml:space="preserve"> INPUTS│Outcomes!I126</f>
        <v>2021.4859999999999</v>
      </c>
      <c r="J175" s="53">
        <f xml:space="preserve"> INPUTS│Outcomes!J126</f>
        <v>2018.673</v>
      </c>
      <c r="K175" s="53">
        <f xml:space="preserve"> INPUTS│Outcomes!K126</f>
        <v>2029.5919999999999</v>
      </c>
      <c r="L175" s="53">
        <f xml:space="preserve"> INPUTS│Outcomes!L126</f>
        <v>2047.713</v>
      </c>
    </row>
    <row r="176" spans="2:19" outlineLevel="1" x14ac:dyDescent="0.3">
      <c r="C176" s="8" t="s">
        <v>89</v>
      </c>
      <c r="D176" s="16" t="s">
        <v>129</v>
      </c>
      <c r="E176" s="53">
        <f xml:space="preserve"> INPUTS│Outcomes!E127</f>
        <v>3462.8650000000002</v>
      </c>
      <c r="F176" s="53">
        <f xml:space="preserve"> INPUTS│Outcomes!F127</f>
        <v>3482.3990000000003</v>
      </c>
      <c r="G176" s="53">
        <f xml:space="preserve"> INPUTS│Outcomes!G127</f>
        <v>3500.0930000000003</v>
      </c>
      <c r="H176" s="53">
        <f xml:space="preserve"> INPUTS│Outcomes!H127</f>
        <v>3529.0120000000002</v>
      </c>
      <c r="I176" s="53">
        <f xml:space="preserve"> INPUTS│Outcomes!I127</f>
        <v>3532.127</v>
      </c>
      <c r="J176" s="53">
        <f xml:space="preserve"> INPUTS│Outcomes!J127</f>
        <v>3588.7160000000003</v>
      </c>
      <c r="K176" s="53">
        <f xml:space="preserve"> INPUTS│Outcomes!K127</f>
        <v>3636.96</v>
      </c>
      <c r="L176" s="53">
        <f xml:space="preserve"> INPUTS│Outcomes!L127</f>
        <v>3669.9960000000001</v>
      </c>
    </row>
    <row r="177" spans="2:19" outlineLevel="1" x14ac:dyDescent="0.3">
      <c r="C177" s="8" t="s">
        <v>91</v>
      </c>
      <c r="D177" s="16" t="s">
        <v>129</v>
      </c>
      <c r="E177" s="53">
        <f xml:space="preserve"> INPUTS│Outcomes!E128</f>
        <v>997.24699999999996</v>
      </c>
      <c r="F177" s="53">
        <f xml:space="preserve"> INPUTS│Outcomes!F128</f>
        <v>1003.5430000000003</v>
      </c>
      <c r="G177" s="53">
        <f xml:space="preserve"> INPUTS│Outcomes!G128</f>
        <v>1010.0990000000002</v>
      </c>
      <c r="H177" s="53">
        <f xml:space="preserve"> INPUTS│Outcomes!H128</f>
        <v>1019.245</v>
      </c>
      <c r="I177" s="53">
        <f xml:space="preserve"> INPUTS│Outcomes!I128</f>
        <v>1033.7059999999999</v>
      </c>
      <c r="J177" s="53">
        <f xml:space="preserve"> INPUTS│Outcomes!J128</f>
        <v>1044.357</v>
      </c>
      <c r="K177" s="53">
        <f xml:space="preserve"> INPUTS│Outcomes!K128</f>
        <v>1053.76</v>
      </c>
      <c r="L177" s="53">
        <f xml:space="preserve"> INPUTS│Outcomes!L128</f>
        <v>1062.873</v>
      </c>
    </row>
    <row r="178" spans="2:19" outlineLevel="1" x14ac:dyDescent="0.3">
      <c r="C178" s="8" t="s">
        <v>94</v>
      </c>
      <c r="D178" s="16" t="s">
        <v>129</v>
      </c>
      <c r="E178" s="53">
        <f xml:space="preserve"> INPUTS│Outcomes!E129</f>
        <v>1073.463</v>
      </c>
      <c r="F178" s="53">
        <f xml:space="preserve"> INPUTS│Outcomes!F129</f>
        <v>1081.6589999999999</v>
      </c>
      <c r="G178" s="53">
        <f xml:space="preserve"> INPUTS│Outcomes!G129</f>
        <v>1087.2090000000001</v>
      </c>
      <c r="H178" s="53">
        <f xml:space="preserve"> INPUTS│Outcomes!H129</f>
        <v>1093.904</v>
      </c>
      <c r="I178" s="53">
        <f xml:space="preserve"> INPUTS│Outcomes!I129</f>
        <v>1104.087</v>
      </c>
      <c r="J178" s="53">
        <f xml:space="preserve"> INPUTS│Outcomes!J129</f>
        <v>1114.1600000000001</v>
      </c>
      <c r="K178" s="53">
        <f xml:space="preserve"> INPUTS│Outcomes!K129</f>
        <v>1123.4169999999999</v>
      </c>
      <c r="L178" s="53">
        <f xml:space="preserve"> INPUTS│Outcomes!L129</f>
        <v>1130.5</v>
      </c>
    </row>
    <row r="179" spans="2:19" outlineLevel="1" x14ac:dyDescent="0.3">
      <c r="C179" s="8" t="s">
        <v>96</v>
      </c>
      <c r="D179" s="16" t="s">
        <v>129</v>
      </c>
      <c r="E179" s="53">
        <f xml:space="preserve"> INPUTS│Outcomes!E130</f>
        <v>3677.741</v>
      </c>
      <c r="F179" s="53">
        <f xml:space="preserve"> INPUTS│Outcomes!F130</f>
        <v>3697.8240000000001</v>
      </c>
      <c r="G179" s="53">
        <f xml:space="preserve"> INPUTS│Outcomes!G130</f>
        <v>3724.4589999999998</v>
      </c>
      <c r="H179" s="53">
        <f xml:space="preserve"> INPUTS│Outcomes!H130</f>
        <v>3758.3599999999997</v>
      </c>
      <c r="I179" s="53">
        <f xml:space="preserve"> INPUTS│Outcomes!I130</f>
        <v>3789.6219999999998</v>
      </c>
      <c r="J179" s="53">
        <f xml:space="preserve"> INPUTS│Outcomes!J130</f>
        <v>3826.422</v>
      </c>
      <c r="K179" s="53">
        <f xml:space="preserve"> INPUTS│Outcomes!K130</f>
        <v>3879.9940000000001</v>
      </c>
      <c r="L179" s="53">
        <f xml:space="preserve"> INPUTS│Outcomes!L130</f>
        <v>3919.4849999999997</v>
      </c>
    </row>
    <row r="180" spans="2:19" outlineLevel="1" x14ac:dyDescent="0.3">
      <c r="C180" s="8" t="s">
        <v>98</v>
      </c>
      <c r="D180" s="16" t="s">
        <v>129</v>
      </c>
      <c r="E180" s="53">
        <f xml:space="preserve"> INPUTS│Outcomes!E131</f>
        <v>3224.9839999999999</v>
      </c>
      <c r="F180" s="53">
        <f xml:space="preserve"> INPUTS│Outcomes!F131</f>
        <v>3236.2539999999999</v>
      </c>
      <c r="G180" s="53">
        <f xml:space="preserve"> INPUTS│Outcomes!G131</f>
        <v>3250.509</v>
      </c>
      <c r="H180" s="53">
        <f xml:space="preserve"> INPUTS│Outcomes!H131</f>
        <v>3275.078</v>
      </c>
      <c r="I180" s="53">
        <f xml:space="preserve"> INPUTS│Outcomes!I131</f>
        <v>3293.08</v>
      </c>
      <c r="J180" s="53">
        <f xml:space="preserve"> INPUTS│Outcomes!J131</f>
        <v>3313.1870000000004</v>
      </c>
      <c r="K180" s="53">
        <f xml:space="preserve"> INPUTS│Outcomes!K131</f>
        <v>3344.2290000000003</v>
      </c>
      <c r="L180" s="53">
        <f xml:space="preserve"> INPUTS│Outcomes!L131</f>
        <v>3379.0010000000002</v>
      </c>
    </row>
    <row r="181" spans="2:19" outlineLevel="1" x14ac:dyDescent="0.3">
      <c r="C181" s="8" t="s">
        <v>100</v>
      </c>
      <c r="D181" s="16" t="s">
        <v>129</v>
      </c>
      <c r="E181" s="53">
        <f xml:space="preserve"> INPUTS│Outcomes!E132</f>
        <v>593.13900000000001</v>
      </c>
      <c r="F181" s="53">
        <f xml:space="preserve"> INPUTS│Outcomes!F132</f>
        <v>597.49200000000008</v>
      </c>
      <c r="G181" s="53">
        <f xml:space="preserve"> INPUTS│Outcomes!G132</f>
        <v>602.25699999999995</v>
      </c>
      <c r="H181" s="53">
        <f xml:space="preserve"> INPUTS│Outcomes!H132</f>
        <v>607.30600000000004</v>
      </c>
      <c r="I181" s="53">
        <f xml:space="preserve"> INPUTS│Outcomes!I132</f>
        <v>612.12299999999993</v>
      </c>
      <c r="J181" s="53">
        <f xml:space="preserve"> INPUTS│Outcomes!J132</f>
        <v>615.40800000000002</v>
      </c>
      <c r="K181" s="53">
        <f xml:space="preserve"> INPUTS│Outcomes!K132</f>
        <v>621.10599999999999</v>
      </c>
      <c r="L181" s="53">
        <f xml:space="preserve"> INPUTS│Outcomes!L132</f>
        <v>625.51299999999992</v>
      </c>
    </row>
    <row r="182" spans="2:19" outlineLevel="1" x14ac:dyDescent="0.3">
      <c r="C182" s="8" t="s">
        <v>102</v>
      </c>
      <c r="D182" s="16" t="s">
        <v>129</v>
      </c>
      <c r="E182" s="53">
        <f xml:space="preserve"> INPUTS│Outcomes!E133</f>
        <v>2244.2739999999999</v>
      </c>
      <c r="F182" s="53">
        <f xml:space="preserve"> INPUTS│Outcomes!F133</f>
        <v>2252.6020000000003</v>
      </c>
      <c r="G182" s="53">
        <f xml:space="preserve"> INPUTS│Outcomes!G133</f>
        <v>2264.9899999999998</v>
      </c>
      <c r="H182" s="53">
        <f xml:space="preserve"> INPUTS│Outcomes!H133</f>
        <v>2276.9300000000003</v>
      </c>
      <c r="I182" s="53">
        <f xml:space="preserve"> INPUTS│Outcomes!I133</f>
        <v>2289.7529999999997</v>
      </c>
      <c r="J182" s="53">
        <f xml:space="preserve"> INPUTS│Outcomes!J133</f>
        <v>2305.3179999999998</v>
      </c>
      <c r="K182" s="53">
        <f xml:space="preserve"> INPUTS│Outcomes!K133</f>
        <v>2319.165</v>
      </c>
      <c r="L182" s="53">
        <f xml:space="preserve"> INPUTS│Outcomes!L133</f>
        <v>2337.4070000000002</v>
      </c>
    </row>
    <row r="183" spans="2:19" outlineLevel="1" x14ac:dyDescent="0.3">
      <c r="C183" s="8" t="s">
        <v>104</v>
      </c>
      <c r="D183" s="16" t="s">
        <v>129</v>
      </c>
      <c r="E183" s="53">
        <f xml:space="preserve"> INPUTS│Outcomes!E134</f>
        <v>1450.3657500000002</v>
      </c>
      <c r="F183" s="53">
        <f xml:space="preserve"> INPUTS│Outcomes!F134</f>
        <v>1458.376</v>
      </c>
      <c r="G183" s="53">
        <f xml:space="preserve"> INPUTS│Outcomes!G134</f>
        <v>1465.366</v>
      </c>
      <c r="H183" s="53">
        <f xml:space="preserve"> INPUTS│Outcomes!H134</f>
        <v>1474.943</v>
      </c>
      <c r="I183" s="53">
        <f xml:space="preserve"> INPUTS│Outcomes!I134</f>
        <v>1490.86</v>
      </c>
      <c r="J183" s="53">
        <f xml:space="preserve"> INPUTS│Outcomes!J134</f>
        <v>1500.1960000000001</v>
      </c>
      <c r="K183" s="53">
        <f xml:space="preserve"> INPUTS│Outcomes!K134</f>
        <v>1513.2749999999999</v>
      </c>
      <c r="L183" s="53">
        <f xml:space="preserve"> INPUTS│Outcomes!L134</f>
        <v>1525.3449999999998</v>
      </c>
    </row>
    <row r="184" spans="2:19" outlineLevel="1" x14ac:dyDescent="0.3">
      <c r="C184" s="8" t="s">
        <v>106</v>
      </c>
      <c r="D184" s="16" t="s">
        <v>129</v>
      </c>
      <c r="E184" s="53">
        <f xml:space="preserve"> INPUTS│Outcomes!E135</f>
        <v>516.50900000000001</v>
      </c>
      <c r="F184" s="53">
        <f xml:space="preserve"> INPUTS│Outcomes!F135</f>
        <v>520.04600000000005</v>
      </c>
      <c r="G184" s="53">
        <f xml:space="preserve"> INPUTS│Outcomes!G135</f>
        <v>523.18299999999999</v>
      </c>
      <c r="H184" s="53">
        <f xml:space="preserve"> INPUTS│Outcomes!H135</f>
        <v>527.50900000000001</v>
      </c>
      <c r="I184" s="53">
        <f xml:space="preserve"> INPUTS│Outcomes!I135</f>
        <v>530.76800000000003</v>
      </c>
      <c r="J184" s="53">
        <f xml:space="preserve"> INPUTS│Outcomes!J135</f>
        <v>536.13800000000003</v>
      </c>
      <c r="K184" s="53">
        <f xml:space="preserve"> INPUTS│Outcomes!K135</f>
        <v>540.93100000000004</v>
      </c>
      <c r="L184" s="53">
        <f xml:space="preserve"> INPUTS│Outcomes!L135</f>
        <v>545.95600000000002</v>
      </c>
    </row>
    <row r="185" spans="2:19" outlineLevel="1" x14ac:dyDescent="0.3">
      <c r="C185" s="8" t="s">
        <v>108</v>
      </c>
      <c r="D185" s="16" t="s">
        <v>129</v>
      </c>
      <c r="E185" s="53">
        <f xml:space="preserve"> INPUTS│Outcomes!E136</f>
        <v>308.791</v>
      </c>
      <c r="F185" s="53">
        <f xml:space="preserve"> INPUTS│Outcomes!F136</f>
        <v>310.38</v>
      </c>
      <c r="G185" s="53">
        <f xml:space="preserve"> INPUTS│Outcomes!G136</f>
        <v>312.83800000000002</v>
      </c>
      <c r="H185" s="53">
        <f xml:space="preserve"> INPUTS│Outcomes!H136</f>
        <v>315.32</v>
      </c>
      <c r="I185" s="53">
        <f xml:space="preserve"> INPUTS│Outcomes!I136</f>
        <v>317.77499999999998</v>
      </c>
      <c r="J185" s="53">
        <f xml:space="preserve"> INPUTS│Outcomes!J136</f>
        <v>319.80600000000004</v>
      </c>
      <c r="K185" s="53">
        <f xml:space="preserve"> INPUTS│Outcomes!K136</f>
        <v>321.59200000000004</v>
      </c>
      <c r="L185" s="53">
        <f xml:space="preserve"> INPUTS│Outcomes!L136</f>
        <v>321.67399999999998</v>
      </c>
    </row>
    <row r="186" spans="2:19" outlineLevel="1" x14ac:dyDescent="0.3">
      <c r="C186" s="8" t="s">
        <v>112</v>
      </c>
      <c r="D186" s="16" t="s">
        <v>129</v>
      </c>
      <c r="E186" s="53">
        <f xml:space="preserve"> INPUTS│Outcomes!E137</f>
        <v>897.077</v>
      </c>
      <c r="F186" s="53">
        <f xml:space="preserve"> INPUTS│Outcomes!F137</f>
        <v>902.14800000000002</v>
      </c>
      <c r="G186" s="53">
        <f xml:space="preserve"> INPUTS│Outcomes!G137</f>
        <v>987.05700000000002</v>
      </c>
      <c r="H186" s="53">
        <f xml:space="preserve"> INPUTS│Outcomes!H137</f>
        <v>992.423</v>
      </c>
      <c r="I186" s="53">
        <f xml:space="preserve"> INPUTS│Outcomes!I137</f>
        <v>1004.6220000000001</v>
      </c>
      <c r="J186" s="53">
        <f xml:space="preserve"> INPUTS│Outcomes!J137</f>
        <v>1013.178</v>
      </c>
      <c r="K186" s="53">
        <f xml:space="preserve"> INPUTS│Outcomes!K137</f>
        <v>1020.985</v>
      </c>
      <c r="L186" s="53">
        <f xml:space="preserve"> INPUTS│Outcomes!L137</f>
        <v>1030.4390000000001</v>
      </c>
    </row>
    <row r="187" spans="2:19" outlineLevel="1" x14ac:dyDescent="0.3">
      <c r="C187" s="8" t="s">
        <v>114</v>
      </c>
      <c r="D187" s="16" t="s">
        <v>129</v>
      </c>
      <c r="E187" s="53">
        <f xml:space="preserve"> INPUTS│Outcomes!E138</f>
        <v>702.81200000000001</v>
      </c>
      <c r="F187" s="53">
        <f xml:space="preserve"> INPUTS│Outcomes!F138</f>
        <v>714.35300000000007</v>
      </c>
      <c r="G187" s="53">
        <f xml:space="preserve"> INPUTS│Outcomes!G138</f>
        <v>721.84300000000007</v>
      </c>
      <c r="H187" s="53">
        <f xml:space="preserve"> INPUTS│Outcomes!H138</f>
        <v>724.928</v>
      </c>
      <c r="I187" s="53">
        <f xml:space="preserve"> INPUTS│Outcomes!I138</f>
        <v>728.84800000000007</v>
      </c>
      <c r="J187" s="53">
        <f xml:space="preserve"> INPUTS│Outcomes!J138</f>
        <v>735.85799999999995</v>
      </c>
      <c r="K187" s="53">
        <f xml:space="preserve"> INPUTS│Outcomes!K138</f>
        <v>737.11399999999992</v>
      </c>
      <c r="L187" s="53">
        <f xml:space="preserve"> INPUTS│Outcomes!L138</f>
        <v>742.64</v>
      </c>
    </row>
    <row r="188" spans="2:19" outlineLevel="1" x14ac:dyDescent="0.3">
      <c r="C188" s="8" t="s">
        <v>110</v>
      </c>
      <c r="D188" s="16" t="s">
        <v>129</v>
      </c>
      <c r="E188" s="53">
        <f xml:space="preserve"> INPUTS│Outcomes!E139</f>
        <v>282.01600000000002</v>
      </c>
      <c r="F188" s="53">
        <f xml:space="preserve"> INPUTS│Outcomes!F139</f>
        <v>283.77199999999999</v>
      </c>
      <c r="G188" s="53">
        <f xml:space="preserve"> INPUTS│Outcomes!G139</f>
        <v>285.613</v>
      </c>
      <c r="H188" s="53">
        <f xml:space="preserve"> INPUTS│Outcomes!H139</f>
        <v>287.08999999999997</v>
      </c>
      <c r="I188" s="53">
        <f xml:space="preserve"> INPUTS│Outcomes!I139</f>
        <v>288.66800000000001</v>
      </c>
      <c r="J188" s="53">
        <f xml:space="preserve"> INPUTS│Outcomes!J139</f>
        <v>291.35199999999998</v>
      </c>
      <c r="K188" s="53">
        <f xml:space="preserve"> INPUTS│Outcomes!K139</f>
        <v>292.34700000000004</v>
      </c>
      <c r="L188" s="53">
        <f xml:space="preserve"> INPUTS│Outcomes!L139</f>
        <v>295.18100000000004</v>
      </c>
    </row>
    <row r="189" spans="2:19" outlineLevel="1" x14ac:dyDescent="0.3"/>
    <row r="190" spans="2:19" outlineLevel="1" x14ac:dyDescent="0.3">
      <c r="C190" s="12" t="s">
        <v>424</v>
      </c>
      <c r="D190" s="13" t="s">
        <v>129</v>
      </c>
      <c r="E190" s="15">
        <f>SUM(E172:E188)</f>
        <v>25023.906750000002</v>
      </c>
      <c r="F190" s="15">
        <f t="shared" ref="F190:L190" si="31">SUM(F172:F188)</f>
        <v>25162.208999999999</v>
      </c>
      <c r="G190" s="15">
        <f t="shared" si="31"/>
        <v>25391.632000000009</v>
      </c>
      <c r="H190" s="15">
        <f t="shared" si="31"/>
        <v>25586.243999999999</v>
      </c>
      <c r="I190" s="15">
        <f t="shared" si="31"/>
        <v>25750.187000000002</v>
      </c>
      <c r="J190" s="15">
        <f t="shared" si="31"/>
        <v>25979.918999999998</v>
      </c>
      <c r="K190" s="15">
        <f t="shared" si="31"/>
        <v>26199.874000000007</v>
      </c>
      <c r="L190" s="15">
        <f t="shared" si="31"/>
        <v>26434.785999999996</v>
      </c>
    </row>
    <row r="191" spans="2:19" outlineLevel="1" x14ac:dyDescent="0.3"/>
    <row r="192" spans="2:19" ht="13.5" outlineLevel="1" x14ac:dyDescent="0.35">
      <c r="B192" s="31" t="s">
        <v>578</v>
      </c>
      <c r="C192" s="31"/>
      <c r="D192" s="28"/>
      <c r="E192" s="29"/>
      <c r="F192" s="29"/>
      <c r="G192" s="29"/>
      <c r="H192" s="29"/>
      <c r="I192" s="29"/>
      <c r="J192" s="29"/>
      <c r="K192" s="29"/>
      <c r="L192" s="29"/>
      <c r="M192" s="29"/>
      <c r="N192" s="29"/>
      <c r="O192" s="59"/>
      <c r="P192" s="29"/>
      <c r="Q192" s="29"/>
      <c r="R192" s="59"/>
      <c r="S192" s="29"/>
    </row>
    <row r="193" spans="3:18" outlineLevel="1" x14ac:dyDescent="0.3"/>
    <row r="194" spans="3:18" ht="30" customHeight="1" outlineLevel="1" x14ac:dyDescent="0.3">
      <c r="N194" s="51" t="s">
        <v>574</v>
      </c>
      <c r="O194" s="52" t="s">
        <v>576</v>
      </c>
      <c r="Q194" s="51" t="str">
        <f xml:space="preserve"> "Net change (from " &amp; Last_year &amp; ")"</f>
        <v>Net change (from 2018-19)</v>
      </c>
      <c r="R194" s="52" t="s">
        <v>576</v>
      </c>
    </row>
    <row r="195" spans="3:18" outlineLevel="1" x14ac:dyDescent="0.3">
      <c r="C195" s="8" t="s">
        <v>80</v>
      </c>
      <c r="D195" s="11" t="s">
        <v>147</v>
      </c>
      <c r="E195" s="233">
        <f xml:space="preserve"> E150 * E172 / 1000</f>
        <v>29.043783600000005</v>
      </c>
      <c r="F195" s="233">
        <f t="shared" ref="F195:L195" si="32" xml:space="preserve"> F150 * F172 / 1000</f>
        <v>41.980454999999999</v>
      </c>
      <c r="G195" s="233">
        <f t="shared" si="32"/>
        <v>40.983868890000004</v>
      </c>
      <c r="H195" s="233">
        <f t="shared" si="32"/>
        <v>17.667564200000001</v>
      </c>
      <c r="I195" s="233">
        <f t="shared" si="32"/>
        <v>25.318446440000002</v>
      </c>
      <c r="J195" s="233">
        <f t="shared" si="32"/>
        <v>16.2483206</v>
      </c>
      <c r="K195" s="233">
        <f t="shared" si="32"/>
        <v>19.368945449999998</v>
      </c>
      <c r="L195" s="233">
        <f t="shared" si="32"/>
        <v>41.858227849999999</v>
      </c>
      <c r="N195" s="14">
        <f t="shared" ref="N195:N210" si="33" xml:space="preserve"> INDEX( E195:L195, 1, MATCH( Year, $E$2:$L$2, 0 ) ) - E195</f>
        <v>12.814444249999994</v>
      </c>
      <c r="O195" s="58">
        <f t="shared" ref="O195:O210" si="34" xml:space="preserve"> IF( E195 = 0, "-", N195 / E195 )</f>
        <v>0.44121125630477398</v>
      </c>
      <c r="Q195" s="14">
        <f t="shared" ref="Q195:Q211" si="35" xml:space="preserve"> INDEX( E195:L195, 1, MATCH( Year, $E$2:$L$2, 0 ) ) - INDEX( E195:L195, 1, MATCH( Last_year, $E$2:$L$2, 0 ) )</f>
        <v>22.4892824</v>
      </c>
      <c r="R195" s="58">
        <f t="shared" ref="R195:R211" si="36" xml:space="preserve"> IF( INDEX( $E195:$L195, 1, MATCH( Last_year, $E$2:$L$2, 0 ) ) = 0, "-", Q195 / INDEX( $E195:$L195, 1, MATCH( Last_year, $E$2:$L$2, 0 ) ) )</f>
        <v>1.1610999916363542</v>
      </c>
    </row>
    <row r="196" spans="3:18" outlineLevel="1" x14ac:dyDescent="0.3">
      <c r="C196" s="8" t="s">
        <v>82</v>
      </c>
      <c r="D196" s="11" t="s">
        <v>147</v>
      </c>
      <c r="E196" s="233">
        <f t="shared" ref="E196:L196" si="37" xml:space="preserve"> E151 * E173 / 1000</f>
        <v>74.132372000000004</v>
      </c>
      <c r="F196" s="233">
        <f t="shared" si="37"/>
        <v>71.03283660000001</v>
      </c>
      <c r="G196" s="233">
        <f t="shared" si="37"/>
        <v>32.384253000000001</v>
      </c>
      <c r="H196" s="233">
        <f t="shared" si="37"/>
        <v>30.748965099999999</v>
      </c>
      <c r="I196" s="233">
        <f t="shared" si="37"/>
        <v>17.3132883</v>
      </c>
      <c r="J196" s="233">
        <f t="shared" si="37"/>
        <v>62.070593299999992</v>
      </c>
      <c r="K196" s="233">
        <f t="shared" si="37"/>
        <v>23.068287999999999</v>
      </c>
      <c r="L196" s="233">
        <f t="shared" si="37"/>
        <v>21.334477499999998</v>
      </c>
      <c r="N196" s="14">
        <f t="shared" si="33"/>
        <v>-52.797894500000005</v>
      </c>
      <c r="O196" s="58">
        <f t="shared" si="34"/>
        <v>-0.71221104998501872</v>
      </c>
      <c r="Q196" s="14">
        <f t="shared" si="35"/>
        <v>-1.7338105000000006</v>
      </c>
      <c r="R196" s="58">
        <f t="shared" si="36"/>
        <v>-7.5159912170335338E-2</v>
      </c>
    </row>
    <row r="197" spans="3:18" outlineLevel="1" x14ac:dyDescent="0.3">
      <c r="C197" s="8" t="s">
        <v>85</v>
      </c>
      <c r="D197" s="11" t="s">
        <v>147</v>
      </c>
      <c r="E197" s="233">
        <f t="shared" ref="E197:L197" si="38" xml:space="preserve"> E152 * E174 / 1000</f>
        <v>1.9357260000000001</v>
      </c>
      <c r="F197" s="233">
        <f t="shared" si="38"/>
        <v>1.1227320000000001</v>
      </c>
      <c r="G197" s="233">
        <f t="shared" si="38"/>
        <v>1.2815076000000001</v>
      </c>
      <c r="H197" s="233">
        <f t="shared" si="38"/>
        <v>0.66106602000000003</v>
      </c>
      <c r="I197" s="233">
        <f t="shared" si="38"/>
        <v>2.6758829999999998</v>
      </c>
      <c r="J197" s="233">
        <f t="shared" si="38"/>
        <v>0.53304167093099997</v>
      </c>
      <c r="K197" s="233">
        <f t="shared" si="38"/>
        <v>3.0617416666666664</v>
      </c>
      <c r="L197" s="233">
        <f t="shared" si="38"/>
        <v>1.77900681</v>
      </c>
      <c r="N197" s="14">
        <f t="shared" si="33"/>
        <v>-0.15671919000000001</v>
      </c>
      <c r="O197" s="58">
        <f t="shared" si="34"/>
        <v>-8.0961453222201898E-2</v>
      </c>
      <c r="Q197" s="14">
        <f t="shared" si="35"/>
        <v>-1.2827348566666663</v>
      </c>
      <c r="R197" s="58">
        <f t="shared" si="36"/>
        <v>-0.4189559395659877</v>
      </c>
    </row>
    <row r="198" spans="3:18" outlineLevel="1" x14ac:dyDescent="0.3">
      <c r="C198" s="8" t="s">
        <v>87</v>
      </c>
      <c r="D198" s="11" t="s">
        <v>147</v>
      </c>
      <c r="E198" s="233">
        <f t="shared" ref="E198:L198" si="39" xml:space="preserve"> E153 * E175 / 1000</f>
        <v>13.6580844</v>
      </c>
      <c r="F198" s="233">
        <f t="shared" si="39"/>
        <v>9.7248046099999996</v>
      </c>
      <c r="G198" s="233">
        <f t="shared" si="39"/>
        <v>7.8058966666666718</v>
      </c>
      <c r="H198" s="233">
        <f t="shared" si="39"/>
        <v>6.6865700000000006</v>
      </c>
      <c r="I198" s="233">
        <f t="shared" si="39"/>
        <v>4.9189492666666661</v>
      </c>
      <c r="J198" s="233">
        <f t="shared" si="39"/>
        <v>10.867189650000002</v>
      </c>
      <c r="K198" s="233">
        <f t="shared" si="39"/>
        <v>18.672246399999995</v>
      </c>
      <c r="L198" s="233">
        <f t="shared" si="39"/>
        <v>12.559306400000002</v>
      </c>
      <c r="N198" s="14">
        <f t="shared" si="33"/>
        <v>-1.0987779999999976</v>
      </c>
      <c r="O198" s="58">
        <f t="shared" si="34"/>
        <v>-8.0448909804657354E-2</v>
      </c>
      <c r="Q198" s="14">
        <f t="shared" si="35"/>
        <v>-6.1129399999999929</v>
      </c>
      <c r="R198" s="58">
        <f t="shared" si="36"/>
        <v>-0.32738106969282466</v>
      </c>
    </row>
    <row r="199" spans="3:18" outlineLevel="1" x14ac:dyDescent="0.3">
      <c r="C199" s="8" t="s">
        <v>89</v>
      </c>
      <c r="D199" s="11" t="s">
        <v>147</v>
      </c>
      <c r="E199" s="233">
        <f t="shared" ref="E199:L199" si="40" xml:space="preserve"> E154 * E176 / 1000</f>
        <v>99.730512000000004</v>
      </c>
      <c r="F199" s="233">
        <f t="shared" si="40"/>
        <v>54.32542440000001</v>
      </c>
      <c r="G199" s="233">
        <f t="shared" si="40"/>
        <v>35.000930000000075</v>
      </c>
      <c r="H199" s="233">
        <f t="shared" si="40"/>
        <v>39.419064040000002</v>
      </c>
      <c r="I199" s="233">
        <f t="shared" si="40"/>
        <v>35.780446510000004</v>
      </c>
      <c r="J199" s="233">
        <f t="shared" si="40"/>
        <v>123.03314686666668</v>
      </c>
      <c r="K199" s="233">
        <f t="shared" si="40"/>
        <v>68.677927999999994</v>
      </c>
      <c r="L199" s="233">
        <f t="shared" si="40"/>
        <v>26.607471</v>
      </c>
      <c r="N199" s="14">
        <f t="shared" si="33"/>
        <v>-73.123041000000001</v>
      </c>
      <c r="O199" s="58">
        <f t="shared" si="34"/>
        <v>-0.73320631302885519</v>
      </c>
      <c r="Q199" s="14">
        <f t="shared" si="35"/>
        <v>-42.07045699999999</v>
      </c>
      <c r="R199" s="58">
        <f t="shared" si="36"/>
        <v>-0.61257609577272032</v>
      </c>
    </row>
    <row r="200" spans="3:18" outlineLevel="1" x14ac:dyDescent="0.3">
      <c r="C200" s="8" t="s">
        <v>91</v>
      </c>
      <c r="D200" s="11" t="s">
        <v>147</v>
      </c>
      <c r="E200" s="233">
        <f t="shared" ref="E200:L200" si="41" xml:space="preserve"> E155 * E177 / 1000</f>
        <v>13.738035400000003</v>
      </c>
      <c r="F200" s="233">
        <f t="shared" si="41"/>
        <v>12.360331800000008</v>
      </c>
      <c r="G200" s="233">
        <f t="shared" si="41"/>
        <v>18.851643600000003</v>
      </c>
      <c r="H200" s="233">
        <f t="shared" si="41"/>
        <v>20.975586900000003</v>
      </c>
      <c r="I200" s="233">
        <f t="shared" si="41"/>
        <v>11.368784239999998</v>
      </c>
      <c r="J200" s="233">
        <f t="shared" si="41"/>
        <v>27.437914382370451</v>
      </c>
      <c r="K200" s="233">
        <f t="shared" si="41"/>
        <v>8.3031816000000003</v>
      </c>
      <c r="L200" s="233">
        <f t="shared" si="41"/>
        <v>10.397716654034985</v>
      </c>
      <c r="N200" s="14">
        <f t="shared" si="33"/>
        <v>-3.3403187459650177</v>
      </c>
      <c r="O200" s="58">
        <f t="shared" si="34"/>
        <v>-0.24314384471341638</v>
      </c>
      <c r="Q200" s="14">
        <f t="shared" si="35"/>
        <v>2.094535054034985</v>
      </c>
      <c r="R200" s="58">
        <f t="shared" si="36"/>
        <v>0.252256924506503</v>
      </c>
    </row>
    <row r="201" spans="3:18" outlineLevel="1" x14ac:dyDescent="0.3">
      <c r="C201" s="8" t="s">
        <v>94</v>
      </c>
      <c r="D201" s="11" t="s">
        <v>147</v>
      </c>
      <c r="E201" s="233">
        <f t="shared" ref="E201:L201" si="42" xml:space="preserve"> E156 * E178 / 1000</f>
        <v>19.322333999999998</v>
      </c>
      <c r="F201" s="233">
        <f t="shared" si="42"/>
        <v>11.681917199999997</v>
      </c>
      <c r="G201" s="233">
        <f t="shared" si="42"/>
        <v>6.5232540000000006</v>
      </c>
      <c r="H201" s="233">
        <f t="shared" si="42"/>
        <v>13.126848000000001</v>
      </c>
      <c r="I201" s="233">
        <f t="shared" si="42"/>
        <v>7.7286090000000005</v>
      </c>
      <c r="J201" s="233">
        <f t="shared" si="42"/>
        <v>18.684463200000003</v>
      </c>
      <c r="K201" s="233">
        <f t="shared" si="42"/>
        <v>8.2908174599999978</v>
      </c>
      <c r="L201" s="233">
        <f t="shared" si="42"/>
        <v>12.740734999999999</v>
      </c>
      <c r="N201" s="14">
        <f t="shared" si="33"/>
        <v>-6.5815989999999989</v>
      </c>
      <c r="O201" s="58">
        <f t="shared" si="34"/>
        <v>-0.34062132452528765</v>
      </c>
      <c r="Q201" s="14">
        <f t="shared" si="35"/>
        <v>4.4499175400000013</v>
      </c>
      <c r="R201" s="58">
        <f t="shared" si="36"/>
        <v>0.53672844221563676</v>
      </c>
    </row>
    <row r="202" spans="3:18" outlineLevel="1" x14ac:dyDescent="0.3">
      <c r="C202" s="8" t="s">
        <v>96</v>
      </c>
      <c r="D202" s="11" t="s">
        <v>147</v>
      </c>
      <c r="E202" s="233">
        <f t="shared" ref="E202:L202" si="43" xml:space="preserve"> E157 * E179 / 1000</f>
        <v>49.42883904</v>
      </c>
      <c r="F202" s="233">
        <f t="shared" si="43"/>
        <v>43.486410239999998</v>
      </c>
      <c r="G202" s="233">
        <f t="shared" si="43"/>
        <v>41.341494900000001</v>
      </c>
      <c r="H202" s="233">
        <f t="shared" si="43"/>
        <v>58.404914399999996</v>
      </c>
      <c r="I202" s="233">
        <f t="shared" si="43"/>
        <v>40.422634666666667</v>
      </c>
      <c r="J202" s="233">
        <f t="shared" si="43"/>
        <v>110.5835958</v>
      </c>
      <c r="K202" s="233">
        <f t="shared" si="43"/>
        <v>85.553867699999984</v>
      </c>
      <c r="L202" s="233">
        <f t="shared" si="43"/>
        <v>86.424644249999986</v>
      </c>
      <c r="N202" s="14">
        <f t="shared" si="33"/>
        <v>36.995805209999986</v>
      </c>
      <c r="O202" s="58">
        <f t="shared" si="34"/>
        <v>0.74846599532838198</v>
      </c>
      <c r="Q202" s="14">
        <f t="shared" si="35"/>
        <v>0.8707765500000022</v>
      </c>
      <c r="R202" s="58">
        <f t="shared" si="36"/>
        <v>1.0178108522848259E-2</v>
      </c>
    </row>
    <row r="203" spans="3:18" outlineLevel="1" x14ac:dyDescent="0.3">
      <c r="C203" s="8" t="s">
        <v>98</v>
      </c>
      <c r="D203" s="11" t="s">
        <v>147</v>
      </c>
      <c r="E203" s="233">
        <f t="shared" ref="E203:L203" si="44" xml:space="preserve"> E158 * E180 / 1000</f>
        <v>57.780963333333332</v>
      </c>
      <c r="F203" s="233">
        <f t="shared" si="44"/>
        <v>31.8771019</v>
      </c>
      <c r="G203" s="233">
        <f t="shared" si="44"/>
        <v>43.610995750000001</v>
      </c>
      <c r="H203" s="233">
        <f t="shared" si="44"/>
        <v>54.693802599999998</v>
      </c>
      <c r="I203" s="233">
        <f t="shared" si="44"/>
        <v>44.621234000000001</v>
      </c>
      <c r="J203" s="233">
        <f t="shared" si="44"/>
        <v>43.56840905</v>
      </c>
      <c r="K203" s="233">
        <f t="shared" si="44"/>
        <v>30.6554325</v>
      </c>
      <c r="L203" s="233">
        <f t="shared" si="44"/>
        <v>34.409493516666672</v>
      </c>
      <c r="N203" s="14">
        <f t="shared" si="33"/>
        <v>-23.371469816666661</v>
      </c>
      <c r="O203" s="58">
        <f t="shared" si="34"/>
        <v>-0.40448390730072625</v>
      </c>
      <c r="Q203" s="14">
        <f t="shared" si="35"/>
        <v>3.7540610166666717</v>
      </c>
      <c r="R203" s="58">
        <f t="shared" si="36"/>
        <v>0.12245989407152132</v>
      </c>
    </row>
    <row r="204" spans="3:18" outlineLevel="1" x14ac:dyDescent="0.3">
      <c r="C204" s="8" t="s">
        <v>100</v>
      </c>
      <c r="D204" s="11" t="s">
        <v>147</v>
      </c>
      <c r="E204" s="233">
        <f t="shared" ref="E204:L204" si="45" xml:space="preserve"> E159 * E181 / 1000</f>
        <v>14.235336</v>
      </c>
      <c r="F204" s="233">
        <f t="shared" si="45"/>
        <v>14.339808000000001</v>
      </c>
      <c r="G204" s="233">
        <f t="shared" si="45"/>
        <v>12.1053657</v>
      </c>
      <c r="H204" s="233">
        <f t="shared" si="45"/>
        <v>8.6844757999999995</v>
      </c>
      <c r="I204" s="233">
        <f t="shared" si="45"/>
        <v>7.8351743999999997</v>
      </c>
      <c r="J204" s="233">
        <f t="shared" si="45"/>
        <v>7.5695184000000006</v>
      </c>
      <c r="K204" s="233">
        <f t="shared" si="45"/>
        <v>3.6334700999999994</v>
      </c>
      <c r="L204" s="233">
        <f t="shared" si="45"/>
        <v>4.7538987999999991</v>
      </c>
      <c r="N204" s="14">
        <f t="shared" si="33"/>
        <v>-9.481437200000002</v>
      </c>
      <c r="O204" s="58">
        <f t="shared" si="34"/>
        <v>-0.66604941393726158</v>
      </c>
      <c r="Q204" s="14">
        <f t="shared" si="35"/>
        <v>1.1204286999999997</v>
      </c>
      <c r="R204" s="58">
        <f t="shared" si="36"/>
        <v>0.30836326408740777</v>
      </c>
    </row>
    <row r="205" spans="3:18" outlineLevel="1" x14ac:dyDescent="0.3">
      <c r="C205" s="8" t="s">
        <v>102</v>
      </c>
      <c r="D205" s="11" t="s">
        <v>147</v>
      </c>
      <c r="E205" s="233">
        <f t="shared" ref="E205:L205" si="46" xml:space="preserve"> E160 * E182 / 1000</f>
        <v>22.891594800000004</v>
      </c>
      <c r="F205" s="233">
        <f t="shared" si="46"/>
        <v>22.976540400000005</v>
      </c>
      <c r="G205" s="233">
        <f t="shared" si="46"/>
        <v>21.472105199999998</v>
      </c>
      <c r="H205" s="233">
        <f t="shared" si="46"/>
        <v>29.349627700000006</v>
      </c>
      <c r="I205" s="233">
        <f t="shared" si="46"/>
        <v>22.393784339999996</v>
      </c>
      <c r="J205" s="233">
        <f t="shared" si="46"/>
        <v>16.045013279999999</v>
      </c>
      <c r="K205" s="233">
        <f t="shared" si="46"/>
        <v>24.258465900000004</v>
      </c>
      <c r="L205" s="233">
        <f t="shared" si="46"/>
        <v>17.670796920000001</v>
      </c>
      <c r="N205" s="14">
        <f t="shared" si="33"/>
        <v>-5.2207978800000028</v>
      </c>
      <c r="O205" s="58">
        <f t="shared" si="34"/>
        <v>-0.22806614941480627</v>
      </c>
      <c r="Q205" s="14">
        <f t="shared" si="35"/>
        <v>-6.5876689800000037</v>
      </c>
      <c r="R205" s="58">
        <f t="shared" si="36"/>
        <v>-0.27156164809251199</v>
      </c>
    </row>
    <row r="206" spans="3:18" outlineLevel="1" x14ac:dyDescent="0.3">
      <c r="C206" s="8" t="s">
        <v>104</v>
      </c>
      <c r="D206" s="11" t="s">
        <v>147</v>
      </c>
      <c r="E206" s="233">
        <f t="shared" ref="E206:L206" si="47" xml:space="preserve"> E161 * E183 / 1000</f>
        <v>28.225582037190424</v>
      </c>
      <c r="F206" s="233">
        <f t="shared" si="47"/>
        <v>33.11971896</v>
      </c>
      <c r="G206" s="233">
        <f t="shared" si="47"/>
        <v>39.6381503</v>
      </c>
      <c r="H206" s="233">
        <f t="shared" si="47"/>
        <v>26.426062083333335</v>
      </c>
      <c r="I206" s="233">
        <f t="shared" si="47"/>
        <v>31.472054599999996</v>
      </c>
      <c r="J206" s="233">
        <f t="shared" si="47"/>
        <v>49.356448399999998</v>
      </c>
      <c r="K206" s="233">
        <f t="shared" si="47"/>
        <v>19.248857999999998</v>
      </c>
      <c r="L206" s="233">
        <f t="shared" si="47"/>
        <v>20.744691999999997</v>
      </c>
      <c r="N206" s="14">
        <f t="shared" si="33"/>
        <v>-7.4808900371904272</v>
      </c>
      <c r="O206" s="58">
        <f t="shared" si="34"/>
        <v>-0.26503935427561781</v>
      </c>
      <c r="Q206" s="14">
        <f t="shared" si="35"/>
        <v>1.4958339999999986</v>
      </c>
      <c r="R206" s="58">
        <f t="shared" si="36"/>
        <v>7.7710272474346198E-2</v>
      </c>
    </row>
    <row r="207" spans="3:18" outlineLevel="1" x14ac:dyDescent="0.3">
      <c r="C207" s="8" t="s">
        <v>106</v>
      </c>
      <c r="D207" s="11" t="s">
        <v>147</v>
      </c>
      <c r="E207" s="233">
        <f t="shared" ref="E207:L207" si="48" xml:space="preserve"> E162 * E184 / 1000</f>
        <v>12.179282220000001</v>
      </c>
      <c r="F207" s="233">
        <f t="shared" si="48"/>
        <v>12.200279160000003</v>
      </c>
      <c r="G207" s="233">
        <f t="shared" si="48"/>
        <v>81.899066819999987</v>
      </c>
      <c r="H207" s="233">
        <f t="shared" si="48"/>
        <v>8.369809466666668</v>
      </c>
      <c r="I207" s="233">
        <f t="shared" si="48"/>
        <v>6.6699845333333334</v>
      </c>
      <c r="J207" s="233">
        <f t="shared" si="48"/>
        <v>40.737552366666677</v>
      </c>
      <c r="K207" s="233">
        <f t="shared" si="48"/>
        <v>8.1229805166666651</v>
      </c>
      <c r="L207" s="233">
        <f t="shared" si="48"/>
        <v>5.0682915333333334</v>
      </c>
      <c r="N207" s="14">
        <f t="shared" si="33"/>
        <v>-7.1109906866666677</v>
      </c>
      <c r="O207" s="58">
        <f t="shared" si="34"/>
        <v>-0.5838595869787363</v>
      </c>
      <c r="Q207" s="14">
        <f t="shared" si="35"/>
        <v>-3.0546889833333317</v>
      </c>
      <c r="R207" s="58">
        <f t="shared" si="36"/>
        <v>-0.37605519021814049</v>
      </c>
    </row>
    <row r="208" spans="3:18" outlineLevel="1" x14ac:dyDescent="0.3">
      <c r="C208" s="8" t="s">
        <v>108</v>
      </c>
      <c r="D208" s="11" t="s">
        <v>147</v>
      </c>
      <c r="E208" s="233">
        <f t="shared" ref="E208:L208" si="49" xml:space="preserve"> E163 * E185 / 1000</f>
        <v>1.2413398200000001</v>
      </c>
      <c r="F208" s="233">
        <f t="shared" si="49"/>
        <v>1.6015607999999997</v>
      </c>
      <c r="G208" s="233">
        <f t="shared" si="49"/>
        <v>2.7321185333333333</v>
      </c>
      <c r="H208" s="233">
        <f t="shared" si="49"/>
        <v>1.1036199999999998</v>
      </c>
      <c r="I208" s="233">
        <f t="shared" si="49"/>
        <v>1.3187662500000001</v>
      </c>
      <c r="J208" s="233">
        <f t="shared" si="49"/>
        <v>1.3698357000000001</v>
      </c>
      <c r="K208" s="233">
        <f t="shared" si="49"/>
        <v>1.2542088000000002</v>
      </c>
      <c r="L208" s="233">
        <f t="shared" si="49"/>
        <v>1.0829691333333333</v>
      </c>
      <c r="N208" s="14">
        <f t="shared" si="33"/>
        <v>-0.15837068666666676</v>
      </c>
      <c r="O208" s="58">
        <f t="shared" si="34"/>
        <v>-0.12758044502807198</v>
      </c>
      <c r="Q208" s="14">
        <f t="shared" si="35"/>
        <v>-0.1712396666666669</v>
      </c>
      <c r="R208" s="58">
        <f t="shared" si="36"/>
        <v>-0.13653202454540814</v>
      </c>
    </row>
    <row r="209" spans="2:19" outlineLevel="1" x14ac:dyDescent="0.3">
      <c r="C209" s="8" t="s">
        <v>112</v>
      </c>
      <c r="D209" s="11" t="s">
        <v>147</v>
      </c>
      <c r="E209" s="233">
        <f t="shared" ref="E209:L209" si="50" xml:space="preserve"> E164 * E186 / 1000</f>
        <v>11.8414164</v>
      </c>
      <c r="F209" s="233">
        <f t="shared" si="50"/>
        <v>14.614797600000003</v>
      </c>
      <c r="G209" s="233">
        <f t="shared" si="50"/>
        <v>7.8964559999999997</v>
      </c>
      <c r="H209" s="233">
        <f t="shared" si="50"/>
        <v>31.807157149999995</v>
      </c>
      <c r="I209" s="233">
        <f t="shared" si="50"/>
        <v>12.959623800000001</v>
      </c>
      <c r="J209" s="233">
        <f t="shared" si="50"/>
        <v>45.187738799999998</v>
      </c>
      <c r="K209" s="233">
        <f t="shared" si="50"/>
        <v>14.497986999999998</v>
      </c>
      <c r="L209" s="233">
        <f t="shared" si="50"/>
        <v>10.304390000000001</v>
      </c>
      <c r="N209" s="14">
        <f t="shared" si="33"/>
        <v>-1.5370263999999985</v>
      </c>
      <c r="O209" s="58">
        <f t="shared" si="34"/>
        <v>-0.12980089104881054</v>
      </c>
      <c r="Q209" s="14">
        <f t="shared" si="35"/>
        <v>-4.1935969999999969</v>
      </c>
      <c r="R209" s="58">
        <f t="shared" si="36"/>
        <v>-0.28925374260578363</v>
      </c>
    </row>
    <row r="210" spans="2:19" outlineLevel="1" x14ac:dyDescent="0.3">
      <c r="C210" s="8" t="s">
        <v>114</v>
      </c>
      <c r="D210" s="11" t="s">
        <v>147</v>
      </c>
      <c r="E210" s="233">
        <f t="shared" ref="E210:L210" si="51" xml:space="preserve"> E165 * E187 / 1000</f>
        <v>6.9182216646906154</v>
      </c>
      <c r="F210" s="233">
        <f t="shared" si="51"/>
        <v>6.429177000000001</v>
      </c>
      <c r="G210" s="233">
        <f t="shared" si="51"/>
        <v>5.9528675475753339</v>
      </c>
      <c r="H210" s="233">
        <f t="shared" si="51"/>
        <v>3.0688618666666665</v>
      </c>
      <c r="I210" s="233">
        <f t="shared" si="51"/>
        <v>3.7755784096000005</v>
      </c>
      <c r="J210" s="233">
        <f t="shared" si="51"/>
        <v>6.2782668702000004</v>
      </c>
      <c r="K210" s="233">
        <f t="shared" si="51"/>
        <v>5.2703651000000002</v>
      </c>
      <c r="L210" s="233">
        <f t="shared" si="51"/>
        <v>2.4878439999999999</v>
      </c>
      <c r="N210" s="14">
        <f t="shared" si="33"/>
        <v>-4.4303776646906154</v>
      </c>
      <c r="O210" s="58">
        <f t="shared" si="34"/>
        <v>-0.64039255742591805</v>
      </c>
      <c r="Q210" s="14">
        <f t="shared" si="35"/>
        <v>-2.7825211000000003</v>
      </c>
      <c r="R210" s="58">
        <f t="shared" si="36"/>
        <v>-0.52795604236222649</v>
      </c>
    </row>
    <row r="211" spans="2:19" outlineLevel="1" x14ac:dyDescent="0.3">
      <c r="C211" s="8" t="s">
        <v>110</v>
      </c>
      <c r="D211" s="11" t="s">
        <v>147</v>
      </c>
      <c r="E211" s="233">
        <f t="shared" ref="E211:L211" si="52" xml:space="preserve"> E166 * E188 / 1000</f>
        <v>4.2302400000000011</v>
      </c>
      <c r="F211" s="233">
        <f t="shared" si="52"/>
        <v>3.8138956799999995</v>
      </c>
      <c r="G211" s="233">
        <f t="shared" si="52"/>
        <v>8.2256543999999998</v>
      </c>
      <c r="H211" s="233">
        <f t="shared" si="52"/>
        <v>1.72254</v>
      </c>
      <c r="I211" s="233">
        <f t="shared" si="52"/>
        <v>1.26436584</v>
      </c>
      <c r="J211" s="233">
        <f t="shared" si="52"/>
        <v>0.87405599999999994</v>
      </c>
      <c r="K211" s="233">
        <f t="shared" si="52"/>
        <v>4.7360214000000012</v>
      </c>
      <c r="L211" s="233">
        <f t="shared" si="52"/>
        <v>0.35421720000000007</v>
      </c>
      <c r="N211" s="14">
        <f xml:space="preserve"> INDEX( E211:L211, 1, MATCH( Year, $E$2:$L$2, 0 ) ) - E211</f>
        <v>-3.8760228000000012</v>
      </c>
      <c r="O211" s="58">
        <f xml:space="preserve"> IF( E211 = 0, "-", N211 / E211 )</f>
        <v>-0.91626546011573817</v>
      </c>
      <c r="Q211" s="14">
        <f t="shared" si="35"/>
        <v>-4.3818042000000013</v>
      </c>
      <c r="R211" s="58">
        <f t="shared" si="36"/>
        <v>-0.925207854846264</v>
      </c>
    </row>
    <row r="212" spans="2:19" outlineLevel="1" x14ac:dyDescent="0.3"/>
    <row r="213" spans="2:19" outlineLevel="1" x14ac:dyDescent="0.3">
      <c r="C213" s="12" t="s">
        <v>424</v>
      </c>
      <c r="D213" s="13" t="s">
        <v>147</v>
      </c>
      <c r="E213" s="14">
        <f>SUM(E195:E211)</f>
        <v>460.5336627152144</v>
      </c>
      <c r="F213" s="14">
        <f t="shared" ref="F213:L213" si="53">SUM(F195:F211)</f>
        <v>386.68779135</v>
      </c>
      <c r="G213" s="14">
        <f t="shared" si="53"/>
        <v>407.70562890757543</v>
      </c>
      <c r="H213" s="14">
        <f t="shared" si="53"/>
        <v>352.91653532666658</v>
      </c>
      <c r="I213" s="14">
        <f t="shared" si="53"/>
        <v>277.83760759626665</v>
      </c>
      <c r="J213" s="14">
        <f t="shared" si="53"/>
        <v>580.44510433683479</v>
      </c>
      <c r="K213" s="14">
        <f t="shared" si="53"/>
        <v>346.67480559333336</v>
      </c>
      <c r="L213" s="14">
        <f t="shared" si="53"/>
        <v>310.57817856736824</v>
      </c>
      <c r="N213" s="14">
        <f xml:space="preserve"> INDEX( E213:L213, 1, MATCH( Year, $E$2:$L$2, 0 ) ) - E213</f>
        <v>-149.95548414784616</v>
      </c>
      <c r="O213" s="58">
        <f xml:space="preserve"> IF( E213 = 0, "-", N213 / E213 )</f>
        <v>-0.32561242812032154</v>
      </c>
      <c r="Q213" s="14">
        <f xml:space="preserve"> INDEX( E213:L213, 1, MATCH( Year, $E$2:$L$2, 0 ) ) - INDEX( E213:L213, 1, MATCH( Last_year, $E$2:$L$2, 0 ) )</f>
        <v>-36.09662702596512</v>
      </c>
      <c r="R213" s="58">
        <f xml:space="preserve"> IF( INDEX( $E213:$L213, 1, MATCH( Last_year, $E$2:$L$2, 0 ) ) = 0, "-", Q213 / INDEX( $E213:$L213, 1, MATCH( Last_year, $E$2:$L$2, 0 ) ) )</f>
        <v>-0.10412244109919036</v>
      </c>
    </row>
    <row r="214" spans="2:19" x14ac:dyDescent="0.3">
      <c r="I214" s="165"/>
    </row>
    <row r="215" spans="2:19" ht="13.5" x14ac:dyDescent="0.35">
      <c r="B215" s="9" t="s">
        <v>165</v>
      </c>
      <c r="C215" s="9"/>
      <c r="D215" s="10"/>
      <c r="E215" s="9"/>
      <c r="F215" s="9"/>
      <c r="G215" s="9"/>
      <c r="H215" s="9"/>
      <c r="I215" s="9"/>
      <c r="J215" s="9"/>
      <c r="K215" s="9"/>
      <c r="L215" s="9"/>
      <c r="M215" s="9"/>
      <c r="N215" s="9"/>
      <c r="O215" s="56"/>
      <c r="P215" s="9"/>
      <c r="Q215" s="9"/>
      <c r="R215" s="56"/>
      <c r="S215" s="9"/>
    </row>
    <row r="216" spans="2:19" outlineLevel="1" x14ac:dyDescent="0.3"/>
    <row r="217" spans="2:19" ht="13.5" outlineLevel="1" x14ac:dyDescent="0.35">
      <c r="B217" s="31" t="s">
        <v>251</v>
      </c>
      <c r="C217" s="31"/>
      <c r="D217" s="28"/>
      <c r="E217" s="29"/>
      <c r="F217" s="29"/>
      <c r="G217" s="29"/>
      <c r="H217" s="29"/>
      <c r="I217" s="29"/>
      <c r="J217" s="29"/>
      <c r="K217" s="29"/>
      <c r="L217" s="29"/>
      <c r="M217" s="29"/>
      <c r="N217" s="29"/>
      <c r="O217" s="59"/>
      <c r="P217" s="29"/>
      <c r="Q217" s="29"/>
      <c r="R217" s="59"/>
      <c r="S217" s="29"/>
    </row>
    <row r="218" spans="2:19" outlineLevel="1" x14ac:dyDescent="0.3"/>
    <row r="219" spans="2:19" ht="30" customHeight="1" outlineLevel="1" x14ac:dyDescent="0.3">
      <c r="N219" s="51" t="s">
        <v>574</v>
      </c>
      <c r="O219" s="52" t="s">
        <v>576</v>
      </c>
      <c r="Q219" s="51" t="str">
        <f xml:space="preserve"> "Net change (from " &amp; Last_year &amp; ")"</f>
        <v>Net change (from 2018-19)</v>
      </c>
      <c r="R219" s="52" t="s">
        <v>576</v>
      </c>
    </row>
    <row r="220" spans="2:19" outlineLevel="1" x14ac:dyDescent="0.3">
      <c r="C220" s="8" t="s">
        <v>80</v>
      </c>
      <c r="D220" s="16" t="s">
        <v>141</v>
      </c>
      <c r="E220" s="233">
        <f xml:space="preserve"> INPUTS│Outcomes!E147</f>
        <v>1.5861058443587874</v>
      </c>
      <c r="F220" s="233">
        <f xml:space="preserve"> INPUTS│Outcomes!F147</f>
        <v>1.5454206194763918</v>
      </c>
      <c r="G220" s="233">
        <f xml:space="preserve"> INPUTS│Outcomes!G147</f>
        <v>1.482773234423562</v>
      </c>
      <c r="H220" s="233">
        <f xml:space="preserve"> INPUTS│Outcomes!H147</f>
        <v>1.3857542457303136</v>
      </c>
      <c r="I220" s="233">
        <f xml:space="preserve"> INPUTS│Outcomes!I147</f>
        <v>1.3801975855884554</v>
      </c>
      <c r="J220" s="233">
        <f xml:space="preserve"> INPUTS│Outcomes!J147</f>
        <v>1.23</v>
      </c>
      <c r="K220" s="233">
        <f xml:space="preserve"> INPUTS│Outcomes!K147</f>
        <v>1.18</v>
      </c>
      <c r="L220" s="233">
        <f xml:space="preserve"> INPUTS│Outcomes!L147</f>
        <v>1.1499999999999999</v>
      </c>
      <c r="N220" s="14">
        <f t="shared" ref="N220:N235" si="54" xml:space="preserve"> INDEX( E220:L220, 1, MATCH( Year, $E$2:$L$2, 0 ) ) - E220</f>
        <v>-0.43610584435878752</v>
      </c>
      <c r="O220" s="58">
        <f t="shared" ref="O220:O235" si="55" xml:space="preserve"> IF( E220 = 0, "-", N220 / E220 )</f>
        <v>-0.27495380961482513</v>
      </c>
      <c r="Q220" s="14">
        <f t="shared" ref="Q220:Q236" si="56" xml:space="preserve"> INDEX( E220:L220, 1, MATCH( Year, $E$2:$L$2, 0 ) ) - INDEX( E220:L220, 1, MATCH( Last_year, $E$2:$L$2, 0 ) )</f>
        <v>-3.0000000000000027E-2</v>
      </c>
      <c r="R220" s="58">
        <f t="shared" ref="R220:R236" si="57" xml:space="preserve"> IF( INDEX( $E220:$L220, 1, MATCH( Last_year, $E$2:$L$2, 0 ) ) = 0, "-", Q220 / INDEX( $E220:$L220, 1, MATCH( Last_year, $E$2:$L$2, 0 ) ) )</f>
        <v>-2.5423728813559344E-2</v>
      </c>
    </row>
    <row r="221" spans="2:19" outlineLevel="1" x14ac:dyDescent="0.3">
      <c r="C221" s="8" t="s">
        <v>82</v>
      </c>
      <c r="D221" s="16" t="s">
        <v>141</v>
      </c>
      <c r="E221" s="233">
        <f xml:space="preserve"> INPUTS│Outcomes!E148</f>
        <v>3.3</v>
      </c>
      <c r="F221" s="233">
        <f xml:space="preserve"> INPUTS│Outcomes!F148</f>
        <v>3.92</v>
      </c>
      <c r="G221" s="233">
        <f xml:space="preserve"> INPUTS│Outcomes!G148</f>
        <v>3.53</v>
      </c>
      <c r="H221" s="233">
        <f xml:space="preserve"> INPUTS│Outcomes!H148</f>
        <v>3.29</v>
      </c>
      <c r="I221" s="233">
        <f xml:space="preserve"> INPUTS│Outcomes!I148</f>
        <v>3.48</v>
      </c>
      <c r="J221" s="233">
        <f xml:space="preserve"> INPUTS│Outcomes!J148</f>
        <v>3.27</v>
      </c>
      <c r="K221" s="233">
        <f xml:space="preserve"> INPUTS│Outcomes!K148</f>
        <v>3.42</v>
      </c>
      <c r="L221" s="233">
        <f xml:space="preserve"> INPUTS│Outcomes!L148</f>
        <v>2.96</v>
      </c>
      <c r="N221" s="14">
        <f t="shared" si="54"/>
        <v>-0.33999999999999986</v>
      </c>
      <c r="O221" s="58">
        <f t="shared" si="55"/>
        <v>-0.10303030303030299</v>
      </c>
      <c r="Q221" s="14">
        <f t="shared" si="56"/>
        <v>-0.45999999999999996</v>
      </c>
      <c r="R221" s="58">
        <f t="shared" si="57"/>
        <v>-0.13450292397660818</v>
      </c>
    </row>
    <row r="222" spans="2:19" outlineLevel="1" x14ac:dyDescent="0.3">
      <c r="C222" s="8" t="s">
        <v>85</v>
      </c>
      <c r="D222" s="16" t="s">
        <v>141</v>
      </c>
      <c r="E222" s="233">
        <f xml:space="preserve"> INPUTS│Outcomes!E149</f>
        <v>5.03</v>
      </c>
      <c r="F222" s="233">
        <f xml:space="preserve"> INPUTS│Outcomes!F149</f>
        <v>6.37</v>
      </c>
      <c r="G222" s="233">
        <f xml:space="preserve"> INPUTS│Outcomes!G149</f>
        <v>3.71</v>
      </c>
      <c r="H222" s="233">
        <f xml:space="preserve"> INPUTS│Outcomes!H149</f>
        <v>2.72</v>
      </c>
      <c r="I222" s="233">
        <f xml:space="preserve"> INPUTS│Outcomes!I149</f>
        <v>2.7</v>
      </c>
      <c r="J222" s="233">
        <f xml:space="preserve"> INPUTS│Outcomes!J149</f>
        <v>2.1</v>
      </c>
      <c r="K222" s="233">
        <f xml:space="preserve"> INPUTS│Outcomes!K149</f>
        <v>2.87</v>
      </c>
      <c r="L222" s="233">
        <f xml:space="preserve"> INPUTS│Outcomes!L149</f>
        <v>2.4500000000000002</v>
      </c>
      <c r="N222" s="14">
        <f t="shared" si="54"/>
        <v>-2.58</v>
      </c>
      <c r="O222" s="58">
        <f t="shared" si="55"/>
        <v>-0.51292246520874751</v>
      </c>
      <c r="Q222" s="14">
        <f t="shared" si="56"/>
        <v>-0.41999999999999993</v>
      </c>
      <c r="R222" s="58">
        <f t="shared" si="57"/>
        <v>-0.14634146341463411</v>
      </c>
    </row>
    <row r="223" spans="2:19" outlineLevel="1" x14ac:dyDescent="0.3">
      <c r="C223" s="8" t="s">
        <v>87</v>
      </c>
      <c r="D223" s="16" t="s">
        <v>141</v>
      </c>
      <c r="E223" s="233">
        <f xml:space="preserve"> INPUTS│Outcomes!E150</f>
        <v>1.964999803428727</v>
      </c>
      <c r="F223" s="233">
        <f xml:space="preserve"> INPUTS│Outcomes!F150</f>
        <v>1.8737042690541028</v>
      </c>
      <c r="G223" s="233">
        <f xml:space="preserve"> INPUTS│Outcomes!G150</f>
        <v>1.6451997175438333</v>
      </c>
      <c r="H223" s="233">
        <f xml:space="preserve"> INPUTS│Outcomes!H150</f>
        <v>1.432199814112683</v>
      </c>
      <c r="I223" s="233">
        <f xml:space="preserve"> INPUTS│Outcomes!I150</f>
        <v>1.4942303829234707</v>
      </c>
      <c r="J223" s="233">
        <f xml:space="preserve"> INPUTS│Outcomes!J150</f>
        <v>1.3444443672008064</v>
      </c>
      <c r="K223" s="233">
        <f xml:space="preserve"> INPUTS│Outcomes!K150</f>
        <v>1.3425628323507699</v>
      </c>
      <c r="L223" s="233">
        <f xml:space="preserve"> INPUTS│Outcomes!L150</f>
        <v>1.0630397570403092</v>
      </c>
      <c r="N223" s="14">
        <f t="shared" si="54"/>
        <v>-0.90196004638841787</v>
      </c>
      <c r="O223" s="58">
        <f t="shared" si="55"/>
        <v>-0.45901279217157592</v>
      </c>
      <c r="Q223" s="14">
        <f t="shared" si="56"/>
        <v>-0.27952307531046072</v>
      </c>
      <c r="R223" s="58">
        <f t="shared" si="57"/>
        <v>-0.20820111251033802</v>
      </c>
    </row>
    <row r="224" spans="2:19" outlineLevel="1" x14ac:dyDescent="0.3">
      <c r="C224" s="8" t="s">
        <v>89</v>
      </c>
      <c r="D224" s="16" t="s">
        <v>141</v>
      </c>
      <c r="E224" s="233">
        <f xml:space="preserve"> INPUTS│Outcomes!E151</f>
        <v>1.73</v>
      </c>
      <c r="F224" s="233">
        <f xml:space="preserve"> INPUTS│Outcomes!F151</f>
        <v>1.86</v>
      </c>
      <c r="G224" s="233">
        <f xml:space="preserve"> INPUTS│Outcomes!G151</f>
        <v>1.92</v>
      </c>
      <c r="H224" s="233">
        <f xml:space="preserve"> INPUTS│Outcomes!H151</f>
        <v>1.95</v>
      </c>
      <c r="I224" s="233">
        <f xml:space="preserve"> INPUTS│Outcomes!I151</f>
        <v>1.98</v>
      </c>
      <c r="J224" s="233">
        <f xml:space="preserve"> INPUTS│Outcomes!J151</f>
        <v>1.74</v>
      </c>
      <c r="K224" s="233">
        <f xml:space="preserve"> INPUTS│Outcomes!K151</f>
        <v>1.64</v>
      </c>
      <c r="L224" s="233">
        <f xml:space="preserve"> INPUTS│Outcomes!L151</f>
        <v>1.4</v>
      </c>
      <c r="N224" s="14">
        <f t="shared" si="54"/>
        <v>-0.33000000000000007</v>
      </c>
      <c r="O224" s="58">
        <f t="shared" si="55"/>
        <v>-0.19075144508670525</v>
      </c>
      <c r="Q224" s="14">
        <f t="shared" si="56"/>
        <v>-0.24</v>
      </c>
      <c r="R224" s="58">
        <f t="shared" si="57"/>
        <v>-0.14634146341463414</v>
      </c>
    </row>
    <row r="225" spans="2:19" outlineLevel="1" x14ac:dyDescent="0.3">
      <c r="C225" s="8" t="s">
        <v>91</v>
      </c>
      <c r="D225" s="16" t="s">
        <v>141</v>
      </c>
      <c r="E225" s="233">
        <f xml:space="preserve"> INPUTS│Outcomes!E152</f>
        <v>4.7238175480478377</v>
      </c>
      <c r="F225" s="233">
        <f xml:space="preserve"> INPUTS│Outcomes!F152</f>
        <v>4.9901726705006526</v>
      </c>
      <c r="G225" s="233">
        <f xml:space="preserve"> INPUTS│Outcomes!G152</f>
        <v>3.3966921905514056</v>
      </c>
      <c r="H225" s="233">
        <f xml:space="preserve"> INPUTS│Outcomes!H152</f>
        <v>3.009921787709497</v>
      </c>
      <c r="I225" s="233">
        <f xml:space="preserve"> INPUTS│Outcomes!I152</f>
        <v>2.7964410596268969</v>
      </c>
      <c r="J225" s="233">
        <f xml:space="preserve"> INPUTS│Outcomes!J152</f>
        <v>2.4363286918285083</v>
      </c>
      <c r="K225" s="233">
        <f xml:space="preserve"> INPUTS│Outcomes!K152</f>
        <v>2.4178379147778002</v>
      </c>
      <c r="L225" s="233">
        <f xml:space="preserve"> INPUTS│Outcomes!L152</f>
        <v>2.0920222761358622</v>
      </c>
      <c r="N225" s="14">
        <f t="shared" si="54"/>
        <v>-2.6317952719119755</v>
      </c>
      <c r="O225" s="58">
        <f t="shared" si="55"/>
        <v>-0.5571331333488081</v>
      </c>
      <c r="Q225" s="14">
        <f t="shared" si="56"/>
        <v>-0.32581563864193797</v>
      </c>
      <c r="R225" s="58">
        <f t="shared" si="57"/>
        <v>-0.13475495468515741</v>
      </c>
    </row>
    <row r="226" spans="2:19" outlineLevel="1" x14ac:dyDescent="0.3">
      <c r="C226" s="8" t="s">
        <v>94</v>
      </c>
      <c r="D226" s="16" t="s">
        <v>141</v>
      </c>
      <c r="E226" s="233">
        <f xml:space="preserve"> INPUTS│Outcomes!E153</f>
        <v>1.57</v>
      </c>
      <c r="F226" s="233">
        <f xml:space="preserve"> INPUTS│Outcomes!F153</f>
        <v>1.48</v>
      </c>
      <c r="G226" s="233">
        <f xml:space="preserve"> INPUTS│Outcomes!G153</f>
        <v>1.42</v>
      </c>
      <c r="H226" s="233">
        <f xml:space="preserve"> INPUTS│Outcomes!H153</f>
        <v>1.29</v>
      </c>
      <c r="I226" s="233">
        <f xml:space="preserve"> INPUTS│Outcomes!I153</f>
        <v>1.45</v>
      </c>
      <c r="J226" s="233">
        <f xml:space="preserve"> INPUTS│Outcomes!J153</f>
        <v>1.4</v>
      </c>
      <c r="K226" s="233">
        <f xml:space="preserve"> INPUTS│Outcomes!K153</f>
        <v>1.26</v>
      </c>
      <c r="L226" s="233">
        <f xml:space="preserve"> INPUTS│Outcomes!L153</f>
        <v>1.21</v>
      </c>
      <c r="N226" s="14">
        <f t="shared" si="54"/>
        <v>-0.3600000000000001</v>
      </c>
      <c r="O226" s="58">
        <f t="shared" si="55"/>
        <v>-0.2292993630573249</v>
      </c>
      <c r="Q226" s="14">
        <f t="shared" si="56"/>
        <v>-5.0000000000000044E-2</v>
      </c>
      <c r="R226" s="58">
        <f t="shared" si="57"/>
        <v>-3.9682539682539715E-2</v>
      </c>
    </row>
    <row r="227" spans="2:19" outlineLevel="1" x14ac:dyDescent="0.3">
      <c r="C227" s="8" t="s">
        <v>96</v>
      </c>
      <c r="D227" s="16" t="s">
        <v>141</v>
      </c>
      <c r="E227" s="233">
        <f xml:space="preserve"> INPUTS│Outcomes!E154</f>
        <v>0.69</v>
      </c>
      <c r="F227" s="233">
        <f xml:space="preserve"> INPUTS│Outcomes!F154</f>
        <v>0.6</v>
      </c>
      <c r="G227" s="233">
        <f xml:space="preserve"> INPUTS│Outcomes!G154</f>
        <v>0.56999999999999995</v>
      </c>
      <c r="H227" s="233">
        <f xml:space="preserve"> INPUTS│Outcomes!H154</f>
        <v>0.64</v>
      </c>
      <c r="I227" s="233">
        <f xml:space="preserve"> INPUTS│Outcomes!I154</f>
        <v>0.61</v>
      </c>
      <c r="J227" s="233">
        <f xml:space="preserve"> INPUTS│Outcomes!J154</f>
        <v>0.57999999999999996</v>
      </c>
      <c r="K227" s="233">
        <f xml:space="preserve"> INPUTS│Outcomes!K154</f>
        <v>0.61</v>
      </c>
      <c r="L227" s="233">
        <f xml:space="preserve"> INPUTS│Outcomes!L154</f>
        <v>0.62</v>
      </c>
      <c r="N227" s="14">
        <f t="shared" si="54"/>
        <v>-6.9999999999999951E-2</v>
      </c>
      <c r="O227" s="58">
        <f t="shared" si="55"/>
        <v>-0.10144927536231878</v>
      </c>
      <c r="Q227" s="14">
        <f t="shared" si="56"/>
        <v>1.0000000000000009E-2</v>
      </c>
      <c r="R227" s="58">
        <f t="shared" si="57"/>
        <v>1.6393442622950834E-2</v>
      </c>
    </row>
    <row r="228" spans="2:19" outlineLevel="1" x14ac:dyDescent="0.3">
      <c r="C228" s="8" t="s">
        <v>98</v>
      </c>
      <c r="D228" s="16" t="s">
        <v>141</v>
      </c>
      <c r="E228" s="233">
        <f xml:space="preserve"> INPUTS│Outcomes!E155</f>
        <v>2.29</v>
      </c>
      <c r="F228" s="233">
        <f xml:space="preserve"> INPUTS│Outcomes!F155</f>
        <v>2.1</v>
      </c>
      <c r="G228" s="233">
        <f xml:space="preserve"> INPUTS│Outcomes!G155</f>
        <v>1.99</v>
      </c>
      <c r="H228" s="233">
        <f xml:space="preserve"> INPUTS│Outcomes!H155</f>
        <v>1.8</v>
      </c>
      <c r="I228" s="233">
        <f xml:space="preserve"> INPUTS│Outcomes!I155</f>
        <v>1.84</v>
      </c>
      <c r="J228" s="233">
        <f xml:space="preserve"> INPUTS│Outcomes!J155</f>
        <v>2.13</v>
      </c>
      <c r="K228" s="233">
        <f xml:space="preserve"> INPUTS│Outcomes!K155</f>
        <v>2.06</v>
      </c>
      <c r="L228" s="233">
        <f xml:space="preserve"> INPUTS│Outcomes!L155</f>
        <v>1.93</v>
      </c>
      <c r="N228" s="14">
        <f t="shared" si="54"/>
        <v>-0.3600000000000001</v>
      </c>
      <c r="O228" s="58">
        <f t="shared" si="55"/>
        <v>-0.15720524017467252</v>
      </c>
      <c r="Q228" s="14">
        <f t="shared" si="56"/>
        <v>-0.13000000000000012</v>
      </c>
      <c r="R228" s="58">
        <f t="shared" si="57"/>
        <v>-6.310679611650491E-2</v>
      </c>
    </row>
    <row r="229" spans="2:19" outlineLevel="1" x14ac:dyDescent="0.3">
      <c r="C229" s="8" t="s">
        <v>100</v>
      </c>
      <c r="D229" s="16" t="s">
        <v>141</v>
      </c>
      <c r="E229" s="233">
        <f xml:space="preserve"> INPUTS│Outcomes!E156</f>
        <v>2.4500000000000002</v>
      </c>
      <c r="F229" s="233">
        <f xml:space="preserve"> INPUTS│Outcomes!F156</f>
        <v>2.33</v>
      </c>
      <c r="G229" s="233">
        <f xml:space="preserve"> INPUTS│Outcomes!G156</f>
        <v>2.36</v>
      </c>
      <c r="H229" s="233">
        <f xml:space="preserve"> INPUTS│Outcomes!H156</f>
        <v>1.9</v>
      </c>
      <c r="I229" s="233">
        <f xml:space="preserve"> INPUTS│Outcomes!I156</f>
        <v>1.68</v>
      </c>
      <c r="J229" s="233">
        <f xml:space="preserve"> INPUTS│Outcomes!J156</f>
        <v>1.56</v>
      </c>
      <c r="K229" s="233">
        <f xml:space="preserve"> INPUTS│Outcomes!K156</f>
        <v>1.54</v>
      </c>
      <c r="L229" s="233">
        <f xml:space="preserve"> INPUTS│Outcomes!L156</f>
        <v>1.59</v>
      </c>
      <c r="N229" s="14">
        <f t="shared" si="54"/>
        <v>-0.8600000000000001</v>
      </c>
      <c r="O229" s="58">
        <f t="shared" si="55"/>
        <v>-0.3510204081632653</v>
      </c>
      <c r="Q229" s="14">
        <f t="shared" si="56"/>
        <v>5.0000000000000044E-2</v>
      </c>
      <c r="R229" s="58">
        <f t="shared" si="57"/>
        <v>3.2467532467532492E-2</v>
      </c>
    </row>
    <row r="230" spans="2:19" outlineLevel="1" x14ac:dyDescent="0.3">
      <c r="C230" s="8" t="s">
        <v>102</v>
      </c>
      <c r="D230" s="16" t="s">
        <v>141</v>
      </c>
      <c r="E230" s="233">
        <f xml:space="preserve"> INPUTS│Outcomes!E157</f>
        <v>2.4500000000000002</v>
      </c>
      <c r="F230" s="233">
        <f xml:space="preserve"> INPUTS│Outcomes!F157</f>
        <v>2.74</v>
      </c>
      <c r="G230" s="233">
        <f xml:space="preserve"> INPUTS│Outcomes!G157</f>
        <v>2.2200000000000002</v>
      </c>
      <c r="H230" s="233">
        <f xml:space="preserve"> INPUTS│Outcomes!H157</f>
        <v>2.15</v>
      </c>
      <c r="I230" s="233">
        <f xml:space="preserve"> INPUTS│Outcomes!I157</f>
        <v>1.94</v>
      </c>
      <c r="J230" s="233">
        <f xml:space="preserve"> INPUTS│Outcomes!J157</f>
        <v>1.51</v>
      </c>
      <c r="K230" s="233">
        <f xml:space="preserve"> INPUTS│Outcomes!K157</f>
        <v>1.64</v>
      </c>
      <c r="L230" s="233">
        <f xml:space="preserve"> INPUTS│Outcomes!L157</f>
        <v>1.31</v>
      </c>
      <c r="N230" s="14">
        <f t="shared" si="54"/>
        <v>-1.1400000000000001</v>
      </c>
      <c r="O230" s="58">
        <f t="shared" si="55"/>
        <v>-0.46530612244897962</v>
      </c>
      <c r="Q230" s="14">
        <f t="shared" si="56"/>
        <v>-0.32999999999999985</v>
      </c>
      <c r="R230" s="58">
        <f t="shared" si="57"/>
        <v>-0.20121951219512188</v>
      </c>
    </row>
    <row r="231" spans="2:19" outlineLevel="1" x14ac:dyDescent="0.3">
      <c r="C231" s="8" t="s">
        <v>104</v>
      </c>
      <c r="D231" s="16" t="s">
        <v>141</v>
      </c>
      <c r="E231" s="233">
        <f xml:space="preserve"> INPUTS│Outcomes!E158</f>
        <v>1.1000000000000001</v>
      </c>
      <c r="F231" s="233">
        <f xml:space="preserve"> INPUTS│Outcomes!F158</f>
        <v>1.08</v>
      </c>
      <c r="G231" s="233">
        <f xml:space="preserve"> INPUTS│Outcomes!G158</f>
        <v>1.07</v>
      </c>
      <c r="H231" s="233">
        <f xml:space="preserve"> INPUTS│Outcomes!H158</f>
        <v>0.98</v>
      </c>
      <c r="I231" s="233">
        <f xml:space="preserve"> INPUTS│Outcomes!I158</f>
        <v>0.96</v>
      </c>
      <c r="J231" s="233">
        <f xml:space="preserve"> INPUTS│Outcomes!J158</f>
        <v>0.83</v>
      </c>
      <c r="K231" s="233">
        <f xml:space="preserve"> INPUTS│Outcomes!K158</f>
        <v>0.82</v>
      </c>
      <c r="L231" s="233">
        <f xml:space="preserve"> INPUTS│Outcomes!L158</f>
        <v>0.81</v>
      </c>
      <c r="N231" s="14">
        <f t="shared" si="54"/>
        <v>-0.29000000000000004</v>
      </c>
      <c r="O231" s="58">
        <f t="shared" si="55"/>
        <v>-0.26363636363636367</v>
      </c>
      <c r="Q231" s="14">
        <f t="shared" si="56"/>
        <v>-9.9999999999998979E-3</v>
      </c>
      <c r="R231" s="58">
        <f t="shared" si="57"/>
        <v>-1.2195121951219388E-2</v>
      </c>
    </row>
    <row r="232" spans="2:19" outlineLevel="1" x14ac:dyDescent="0.3">
      <c r="C232" s="8" t="s">
        <v>106</v>
      </c>
      <c r="D232" s="16" t="s">
        <v>141</v>
      </c>
      <c r="E232" s="233">
        <f xml:space="preserve"> INPUTS│Outcomes!E159</f>
        <v>2.15</v>
      </c>
      <c r="F232" s="233">
        <f xml:space="preserve"> INPUTS│Outcomes!F159</f>
        <v>1.87</v>
      </c>
      <c r="G232" s="233">
        <f xml:space="preserve"> INPUTS│Outcomes!G159</f>
        <v>2.13</v>
      </c>
      <c r="H232" s="233">
        <f xml:space="preserve"> INPUTS│Outcomes!H159</f>
        <v>1.93</v>
      </c>
      <c r="I232" s="233">
        <f xml:space="preserve"> INPUTS│Outcomes!I159</f>
        <v>1.8</v>
      </c>
      <c r="J232" s="233">
        <f xml:space="preserve"> INPUTS│Outcomes!J159</f>
        <v>1.53</v>
      </c>
      <c r="K232" s="233">
        <f xml:space="preserve"> INPUTS│Outcomes!K159</f>
        <v>1.69</v>
      </c>
      <c r="L232" s="233">
        <f xml:space="preserve"> INPUTS│Outcomes!L159</f>
        <v>1.46</v>
      </c>
      <c r="N232" s="14">
        <f t="shared" si="54"/>
        <v>-0.69</v>
      </c>
      <c r="O232" s="58">
        <f t="shared" si="55"/>
        <v>-0.32093023255813952</v>
      </c>
      <c r="Q232" s="14">
        <f t="shared" si="56"/>
        <v>-0.22999999999999998</v>
      </c>
      <c r="R232" s="58">
        <f t="shared" si="57"/>
        <v>-0.13609467455621302</v>
      </c>
    </row>
    <row r="233" spans="2:19" outlineLevel="1" x14ac:dyDescent="0.3">
      <c r="C233" s="8" t="s">
        <v>108</v>
      </c>
      <c r="D233" s="16" t="s">
        <v>141</v>
      </c>
      <c r="E233" s="233">
        <f xml:space="preserve"> INPUTS│Outcomes!E160</f>
        <v>0.55000000000000004</v>
      </c>
      <c r="F233" s="233">
        <f xml:space="preserve"> INPUTS│Outcomes!F160</f>
        <v>0.43</v>
      </c>
      <c r="G233" s="233">
        <f xml:space="preserve"> INPUTS│Outcomes!G160</f>
        <v>0.84</v>
      </c>
      <c r="H233" s="233">
        <f xml:space="preserve"> INPUTS│Outcomes!H160</f>
        <v>0.56999999999999995</v>
      </c>
      <c r="I233" s="233">
        <f xml:space="preserve"> INPUTS│Outcomes!I160</f>
        <v>0.67</v>
      </c>
      <c r="J233" s="233">
        <f xml:space="preserve"> INPUTS│Outcomes!J160</f>
        <v>0.55000000000000004</v>
      </c>
      <c r="K233" s="233">
        <f xml:space="preserve"> INPUTS│Outcomes!K160</f>
        <v>0.44</v>
      </c>
      <c r="L233" s="233">
        <f xml:space="preserve"> INPUTS│Outcomes!L160</f>
        <v>0.39</v>
      </c>
      <c r="N233" s="14">
        <f t="shared" si="54"/>
        <v>-0.16000000000000003</v>
      </c>
      <c r="O233" s="58">
        <f t="shared" si="55"/>
        <v>-0.29090909090909095</v>
      </c>
      <c r="Q233" s="14">
        <f t="shared" si="56"/>
        <v>-4.9999999999999989E-2</v>
      </c>
      <c r="R233" s="58">
        <f t="shared" si="57"/>
        <v>-0.1136363636363636</v>
      </c>
    </row>
    <row r="234" spans="2:19" outlineLevel="1" x14ac:dyDescent="0.3">
      <c r="C234" s="8" t="s">
        <v>112</v>
      </c>
      <c r="D234" s="16" t="s">
        <v>141</v>
      </c>
      <c r="E234" s="233">
        <f xml:space="preserve"> INPUTS│Outcomes!E161</f>
        <v>2.4500000000000002</v>
      </c>
      <c r="F234" s="233">
        <f xml:space="preserve"> INPUTS│Outcomes!F161</f>
        <v>2.4700000000000002</v>
      </c>
      <c r="G234" s="233">
        <f xml:space="preserve"> INPUTS│Outcomes!G161</f>
        <v>2.37</v>
      </c>
      <c r="H234" s="233">
        <f xml:space="preserve"> INPUTS│Outcomes!H161</f>
        <v>2.1800000000000002</v>
      </c>
      <c r="I234" s="233">
        <f xml:space="preserve"> INPUTS│Outcomes!I161</f>
        <v>1.98</v>
      </c>
      <c r="J234" s="233">
        <f xml:space="preserve"> INPUTS│Outcomes!J161</f>
        <v>1.89</v>
      </c>
      <c r="K234" s="233">
        <f xml:space="preserve"> INPUTS│Outcomes!K161</f>
        <v>1.52</v>
      </c>
      <c r="L234" s="233">
        <f xml:space="preserve"> INPUTS│Outcomes!L161</f>
        <v>1.37</v>
      </c>
      <c r="N234" s="14">
        <f t="shared" si="54"/>
        <v>-1.08</v>
      </c>
      <c r="O234" s="58">
        <f t="shared" si="55"/>
        <v>-0.44081632653061226</v>
      </c>
      <c r="Q234" s="14">
        <f t="shared" si="56"/>
        <v>-0.14999999999999991</v>
      </c>
      <c r="R234" s="58">
        <f t="shared" si="57"/>
        <v>-9.8684210526315735E-2</v>
      </c>
    </row>
    <row r="235" spans="2:19" outlineLevel="1" x14ac:dyDescent="0.3">
      <c r="C235" s="8" t="s">
        <v>114</v>
      </c>
      <c r="D235" s="16" t="s">
        <v>141</v>
      </c>
      <c r="E235" s="233">
        <f xml:space="preserve"> INPUTS│Outcomes!E162</f>
        <v>1.8080192685007819</v>
      </c>
      <c r="F235" s="233">
        <f xml:space="preserve"> INPUTS│Outcomes!F162</f>
        <v>1.8319879749787897</v>
      </c>
      <c r="G235" s="233">
        <f xml:space="preserve"> INPUTS│Outcomes!G162</f>
        <v>1.5530483236640704</v>
      </c>
      <c r="H235" s="233">
        <f xml:space="preserve"> INPUTS│Outcomes!H162</f>
        <v>1.9566133047707275</v>
      </c>
      <c r="I235" s="233">
        <f xml:space="preserve"> INPUTS│Outcomes!I162</f>
        <v>1.662817804602037</v>
      </c>
      <c r="J235" s="233">
        <f xml:space="preserve"> INPUTS│Outcomes!J162</f>
        <v>1.417778366914104</v>
      </c>
      <c r="K235" s="233">
        <f xml:space="preserve"> INPUTS│Outcomes!K162</f>
        <v>1.5069135802469136</v>
      </c>
      <c r="L235" s="233">
        <f xml:space="preserve"> INPUTS│Outcomes!L162</f>
        <v>1.1845630767872126</v>
      </c>
      <c r="N235" s="14">
        <f t="shared" si="54"/>
        <v>-0.62345619171356925</v>
      </c>
      <c r="O235" s="58">
        <f t="shared" si="55"/>
        <v>-0.34482828948528965</v>
      </c>
      <c r="Q235" s="14">
        <f t="shared" si="56"/>
        <v>-0.32235050345970095</v>
      </c>
      <c r="R235" s="58">
        <f t="shared" si="57"/>
        <v>-0.21391439275959181</v>
      </c>
    </row>
    <row r="236" spans="2:19" outlineLevel="1" x14ac:dyDescent="0.3">
      <c r="C236" s="8" t="s">
        <v>110</v>
      </c>
      <c r="D236" s="16" t="s">
        <v>141</v>
      </c>
      <c r="E236" s="233">
        <f xml:space="preserve"> INPUTS│Outcomes!E163</f>
        <v>0.59</v>
      </c>
      <c r="F236" s="233">
        <f xml:space="preserve"> INPUTS│Outcomes!F163</f>
        <v>0.53</v>
      </c>
      <c r="G236" s="233">
        <f xml:space="preserve"> INPUTS│Outcomes!G163</f>
        <v>0.85</v>
      </c>
      <c r="H236" s="233">
        <f xml:space="preserve"> INPUTS│Outcomes!H163</f>
        <v>0.65</v>
      </c>
      <c r="I236" s="233">
        <f xml:space="preserve"> INPUTS│Outcomes!I163</f>
        <v>0.56999999999999995</v>
      </c>
      <c r="J236" s="233">
        <f xml:space="preserve"> INPUTS│Outcomes!J163</f>
        <v>0.56000000000000005</v>
      </c>
      <c r="K236" s="233">
        <f xml:space="preserve"> INPUTS│Outcomes!K163</f>
        <v>0.59</v>
      </c>
      <c r="L236" s="233">
        <f xml:space="preserve"> INPUTS│Outcomes!L163</f>
        <v>0.49</v>
      </c>
      <c r="N236" s="14">
        <f xml:space="preserve"> INDEX( E236:L236, 1, MATCH( Year, $E$2:$L$2, 0 ) ) - E236</f>
        <v>-9.9999999999999978E-2</v>
      </c>
      <c r="O236" s="58">
        <f xml:space="preserve"> IF( E236 = 0, "-", N236 / E236 )</f>
        <v>-0.16949152542372878</v>
      </c>
      <c r="Q236" s="14">
        <f t="shared" si="56"/>
        <v>-9.9999999999999978E-2</v>
      </c>
      <c r="R236" s="58">
        <f t="shared" si="57"/>
        <v>-0.16949152542372878</v>
      </c>
    </row>
    <row r="237" spans="2:19" outlineLevel="1" x14ac:dyDescent="0.3"/>
    <row r="238" spans="2:19" outlineLevel="1" x14ac:dyDescent="0.3">
      <c r="C238" s="12" t="s">
        <v>451</v>
      </c>
      <c r="D238" s="3" t="s">
        <v>141</v>
      </c>
      <c r="E238" s="14">
        <f xml:space="preserve"> IFERROR( E261 / SUMPRODUCT( E243:E259, 1 / E220:E236 ), 0 )</f>
        <v>1.8980951662386456</v>
      </c>
      <c r="F238" s="14">
        <f t="shared" ref="F238:L238" si="58" xml:space="preserve"> IFERROR( F261 / SUMPRODUCT( F243:F259, 1 / F220:F236 ), 0 )</f>
        <v>1.9155987784135315</v>
      </c>
      <c r="G238" s="14">
        <f t="shared" si="58"/>
        <v>1.7472783799247111</v>
      </c>
      <c r="H238" s="14">
        <f t="shared" si="58"/>
        <v>1.6447283117204392</v>
      </c>
      <c r="I238" s="14">
        <f t="shared" si="58"/>
        <v>1.6192697176414639</v>
      </c>
      <c r="J238" s="14">
        <f t="shared" si="58"/>
        <v>1.4973877603047585</v>
      </c>
      <c r="K238" s="14">
        <f t="shared" si="58"/>
        <v>1.4790035017671681</v>
      </c>
      <c r="L238" s="14">
        <f t="shared" si="58"/>
        <v>1.3175563956975789</v>
      </c>
      <c r="N238" s="14">
        <f xml:space="preserve"> INDEX( E238:L238, 1, MATCH( Year, $E$2:$L$2, 0 ) ) - E238</f>
        <v>-0.58053877054106673</v>
      </c>
      <c r="O238" s="58">
        <f xml:space="preserve"> IF( E238 = 0, "-", N238 / E238 )</f>
        <v>-0.30585335280711429</v>
      </c>
      <c r="Q238" s="14">
        <f xml:space="preserve"> INDEX( E238:L238, 1, MATCH( Year, $E$2:$L$2, 0 ) ) - INDEX( E238:L238, 1, MATCH( Last_year, $E$2:$L$2, 0 ) )</f>
        <v>-0.16144710606958923</v>
      </c>
      <c r="R238" s="58">
        <f xml:space="preserve"> IF( INDEX( $E238:$L238, 1, MATCH( Last_year, $E$2:$L$2, 0 ) ) = 0, "-", Q238 / INDEX( $E238:$L238, 1, MATCH( Last_year, $E$2:$L$2, 0 ) ) )</f>
        <v>-0.10915938054013141</v>
      </c>
    </row>
    <row r="239" spans="2:19" outlineLevel="1" x14ac:dyDescent="0.3"/>
    <row r="240" spans="2:19" ht="13.5" outlineLevel="1" x14ac:dyDescent="0.35">
      <c r="B240" s="31" t="s">
        <v>250</v>
      </c>
      <c r="C240" s="31"/>
      <c r="D240" s="28"/>
      <c r="E240" s="29"/>
      <c r="F240" s="29"/>
      <c r="G240" s="29"/>
      <c r="H240" s="29"/>
      <c r="I240" s="29"/>
      <c r="J240" s="29"/>
      <c r="K240" s="29"/>
      <c r="L240" s="29"/>
      <c r="M240" s="29"/>
      <c r="N240" s="29"/>
      <c r="O240" s="59"/>
      <c r="P240" s="29"/>
      <c r="Q240" s="29"/>
      <c r="R240" s="59"/>
      <c r="S240" s="29"/>
    </row>
    <row r="241" spans="3:18" outlineLevel="1" x14ac:dyDescent="0.3"/>
    <row r="242" spans="3:18" ht="30" customHeight="1" outlineLevel="1" x14ac:dyDescent="0.3">
      <c r="N242" s="51" t="s">
        <v>574</v>
      </c>
      <c r="O242" s="52" t="s">
        <v>576</v>
      </c>
      <c r="Q242" s="51" t="str">
        <f xml:space="preserve"> "Net change (from " &amp; Last_year &amp; ")"</f>
        <v>Net change (from 2018-19)</v>
      </c>
      <c r="R242" s="52" t="s">
        <v>576</v>
      </c>
    </row>
    <row r="243" spans="3:18" outlineLevel="1" x14ac:dyDescent="0.3">
      <c r="C243" s="8" t="s">
        <v>80</v>
      </c>
      <c r="D243" s="16" t="s">
        <v>141</v>
      </c>
      <c r="E243" s="228">
        <f xml:space="preserve"> INPUTS│Outcomes!E169</f>
        <v>6975</v>
      </c>
      <c r="F243" s="228">
        <f xml:space="preserve"> INPUTS│Outcomes!F169</f>
        <v>6756</v>
      </c>
      <c r="G243" s="228">
        <f xml:space="preserve"> INPUTS│Outcomes!G169</f>
        <v>6566</v>
      </c>
      <c r="H243" s="228">
        <f xml:space="preserve"> INPUTS│Outcomes!H169</f>
        <v>6273</v>
      </c>
      <c r="I243" s="228">
        <f xml:space="preserve"> INPUTS│Outcomes!I169</f>
        <v>6308</v>
      </c>
      <c r="J243" s="228">
        <f xml:space="preserve"> INPUTS│Outcomes!J169</f>
        <v>5618</v>
      </c>
      <c r="K243" s="228">
        <f xml:space="preserve"> INPUTS│Outcomes!K169</f>
        <v>5418</v>
      </c>
      <c r="L243" s="228">
        <f xml:space="preserve"> INPUTS│Outcomes!L169</f>
        <v>5309</v>
      </c>
      <c r="N243" s="15">
        <f t="shared" ref="N243:N258" si="59" xml:space="preserve"> INDEX( E243:L243, 1, MATCH( Year, $E$2:$L$2, 0 ) ) - E243</f>
        <v>-1666</v>
      </c>
      <c r="O243" s="235">
        <f t="shared" ref="O243:O258" si="60" xml:space="preserve"> IF( E243 = 0, "-", N243 / E243 )</f>
        <v>-0.23885304659498208</v>
      </c>
      <c r="Q243" s="15">
        <f t="shared" ref="Q243:Q259" si="61" xml:space="preserve"> INDEX( E243:L243, 1, MATCH( Year, $E$2:$L$2, 0 ) ) - INDEX( E243:L243, 1, MATCH( Last_year, $E$2:$L$2, 0 ) )</f>
        <v>-109</v>
      </c>
      <c r="R243" s="235">
        <f t="shared" ref="R243:R259" si="62" xml:space="preserve"> IF( INDEX( $E243:$L243, 1, MATCH( Last_year, $E$2:$L$2, 0 ) ) = 0, "-", Q243 / INDEX( $E243:$L243, 1, MATCH( Last_year, $E$2:$L$2, 0 ) ) )</f>
        <v>-2.0118124769287558E-2</v>
      </c>
    </row>
    <row r="244" spans="3:18" outlineLevel="1" x14ac:dyDescent="0.3">
      <c r="C244" s="8" t="s">
        <v>82</v>
      </c>
      <c r="D244" s="16" t="s">
        <v>141</v>
      </c>
      <c r="E244" s="228">
        <f xml:space="preserve"> INPUTS│Outcomes!E170</f>
        <v>9745</v>
      </c>
      <c r="F244" s="228">
        <f xml:space="preserve"> INPUTS│Outcomes!F170</f>
        <v>11553</v>
      </c>
      <c r="G244" s="228">
        <f xml:space="preserve"> INPUTS│Outcomes!G170</f>
        <v>10843</v>
      </c>
      <c r="H244" s="228">
        <f xml:space="preserve"> INPUTS│Outcomes!H170</f>
        <v>9964</v>
      </c>
      <c r="I244" s="228">
        <f xml:space="preserve"> INPUTS│Outcomes!I170</f>
        <v>10483</v>
      </c>
      <c r="J244" s="228">
        <f xml:space="preserve"> INPUTS│Outcomes!J170</f>
        <v>10210</v>
      </c>
      <c r="K244" s="228">
        <f xml:space="preserve"> INPUTS│Outcomes!K170</f>
        <v>10574</v>
      </c>
      <c r="L244" s="228">
        <f xml:space="preserve"> INPUTS│Outcomes!L170</f>
        <v>9167</v>
      </c>
      <c r="N244" s="15">
        <f t="shared" si="59"/>
        <v>-578</v>
      </c>
      <c r="O244" s="235">
        <f t="shared" si="60"/>
        <v>-5.9312467932272961E-2</v>
      </c>
      <c r="Q244" s="15">
        <f t="shared" si="61"/>
        <v>-1407</v>
      </c>
      <c r="R244" s="235">
        <f t="shared" si="62"/>
        <v>-0.13306222810667676</v>
      </c>
    </row>
    <row r="245" spans="3:18" outlineLevel="1" x14ac:dyDescent="0.3">
      <c r="C245" s="8" t="s">
        <v>85</v>
      </c>
      <c r="D245" s="16" t="s">
        <v>141</v>
      </c>
      <c r="E245" s="228">
        <f xml:space="preserve"> INPUTS│Outcomes!E171</f>
        <v>1312</v>
      </c>
      <c r="F245" s="228">
        <f xml:space="preserve"> INPUTS│Outcomes!F171</f>
        <v>1671</v>
      </c>
      <c r="G245" s="228">
        <f xml:space="preserve"> INPUTS│Outcomes!G171</f>
        <v>975</v>
      </c>
      <c r="H245" s="228">
        <f xml:space="preserve"> INPUTS│Outcomes!H171</f>
        <v>713</v>
      </c>
      <c r="I245" s="228">
        <f xml:space="preserve"> INPUTS│Outcomes!I171</f>
        <v>707</v>
      </c>
      <c r="J245" s="228">
        <f xml:space="preserve"> INPUTS│Outcomes!J171</f>
        <v>551</v>
      </c>
      <c r="K245" s="228">
        <f xml:space="preserve"> INPUTS│Outcomes!K171</f>
        <v>601</v>
      </c>
      <c r="L245" s="228">
        <f xml:space="preserve"> INPUTS│Outcomes!L171</f>
        <v>508</v>
      </c>
      <c r="N245" s="15">
        <f t="shared" si="59"/>
        <v>-804</v>
      </c>
      <c r="O245" s="235">
        <f t="shared" si="60"/>
        <v>-0.61280487804878048</v>
      </c>
      <c r="Q245" s="15">
        <f t="shared" si="61"/>
        <v>-93</v>
      </c>
      <c r="R245" s="235">
        <f t="shared" si="62"/>
        <v>-0.15474209650582363</v>
      </c>
    </row>
    <row r="246" spans="3:18" outlineLevel="1" x14ac:dyDescent="0.3">
      <c r="C246" s="8" t="s">
        <v>87</v>
      </c>
      <c r="D246" s="16" t="s">
        <v>141</v>
      </c>
      <c r="E246" s="228">
        <f xml:space="preserve"> INPUTS│Outcomes!E172</f>
        <v>8509</v>
      </c>
      <c r="F246" s="228">
        <f xml:space="preserve"> INPUTS│Outcomes!F172</f>
        <v>8109</v>
      </c>
      <c r="G246" s="228">
        <f xml:space="preserve"> INPUTS│Outcomes!G172</f>
        <v>7189</v>
      </c>
      <c r="H246" s="228">
        <f xml:space="preserve"> INPUTS│Outcomes!H172</f>
        <v>6223</v>
      </c>
      <c r="I246" s="228">
        <f xml:space="preserve"> INPUTS│Outcomes!I172</f>
        <v>6515</v>
      </c>
      <c r="J246" s="228">
        <f xml:space="preserve"> INPUTS│Outcomes!J172</f>
        <v>5840</v>
      </c>
      <c r="K246" s="228">
        <f xml:space="preserve"> INPUTS│Outcomes!K172</f>
        <v>5898</v>
      </c>
      <c r="L246" s="228">
        <f xml:space="preserve"> INPUTS│Outcomes!L172</f>
        <v>4828</v>
      </c>
      <c r="N246" s="15">
        <f t="shared" si="59"/>
        <v>-3681</v>
      </c>
      <c r="O246" s="235">
        <f t="shared" si="60"/>
        <v>-0.43260077564931249</v>
      </c>
      <c r="Q246" s="15">
        <f t="shared" si="61"/>
        <v>-1070</v>
      </c>
      <c r="R246" s="235">
        <f t="shared" si="62"/>
        <v>-0.18141742963716515</v>
      </c>
    </row>
    <row r="247" spans="3:18" outlineLevel="1" x14ac:dyDescent="0.3">
      <c r="C247" s="8" t="s">
        <v>89</v>
      </c>
      <c r="D247" s="16" t="s">
        <v>141</v>
      </c>
      <c r="E247" s="228">
        <f xml:space="preserve"> INPUTS│Outcomes!E173</f>
        <v>13057</v>
      </c>
      <c r="F247" s="228">
        <f xml:space="preserve"> INPUTS│Outcomes!F173</f>
        <v>14052</v>
      </c>
      <c r="G247" s="228">
        <f xml:space="preserve"> INPUTS│Outcomes!G173</f>
        <v>14936</v>
      </c>
      <c r="H247" s="228">
        <f xml:space="preserve"> INPUTS│Outcomes!H173</f>
        <v>14680</v>
      </c>
      <c r="I247" s="228">
        <f xml:space="preserve"> INPUTS│Outcomes!I173</f>
        <v>15336</v>
      </c>
      <c r="J247" s="228">
        <f xml:space="preserve"> INPUTS│Outcomes!J173</f>
        <v>13359</v>
      </c>
      <c r="K247" s="228">
        <f xml:space="preserve"> INPUTS│Outcomes!K173</f>
        <v>12736</v>
      </c>
      <c r="L247" s="228">
        <f xml:space="preserve"> INPUTS│Outcomes!L173</f>
        <v>10984</v>
      </c>
      <c r="N247" s="15">
        <f t="shared" si="59"/>
        <v>-2073</v>
      </c>
      <c r="O247" s="235">
        <f t="shared" si="60"/>
        <v>-0.1587654131883281</v>
      </c>
      <c r="Q247" s="15">
        <f t="shared" si="61"/>
        <v>-1752</v>
      </c>
      <c r="R247" s="235">
        <f t="shared" si="62"/>
        <v>-0.13756281407035176</v>
      </c>
    </row>
    <row r="248" spans="3:18" outlineLevel="1" x14ac:dyDescent="0.3">
      <c r="C248" s="8" t="s">
        <v>91</v>
      </c>
      <c r="D248" s="16" t="s">
        <v>141</v>
      </c>
      <c r="E248" s="228">
        <f xml:space="preserve"> INPUTS│Outcomes!E174</f>
        <v>9910</v>
      </c>
      <c r="F248" s="228">
        <f xml:space="preserve"> INPUTS│Outcomes!F174</f>
        <v>10348</v>
      </c>
      <c r="G248" s="228">
        <f xml:space="preserve"> INPUTS│Outcomes!G174</f>
        <v>7183</v>
      </c>
      <c r="H248" s="228">
        <f xml:space="preserve"> INPUTS│Outcomes!H174</f>
        <v>6414</v>
      </c>
      <c r="I248" s="228">
        <f xml:space="preserve"> INPUTS│Outcomes!I174</f>
        <v>6000</v>
      </c>
      <c r="J248" s="228">
        <f xml:space="preserve"> INPUTS│Outcomes!J174</f>
        <v>5258</v>
      </c>
      <c r="K248" s="228">
        <f xml:space="preserve"> INPUTS│Outcomes!K174</f>
        <v>5231</v>
      </c>
      <c r="L248" s="228">
        <f xml:space="preserve"> INPUTS│Outcomes!L174</f>
        <v>4546</v>
      </c>
      <c r="N248" s="15">
        <f t="shared" si="59"/>
        <v>-5364</v>
      </c>
      <c r="O248" s="235">
        <f t="shared" si="60"/>
        <v>-0.5412714429868819</v>
      </c>
      <c r="Q248" s="15">
        <f t="shared" si="61"/>
        <v>-685</v>
      </c>
      <c r="R248" s="235">
        <f t="shared" si="62"/>
        <v>-0.1309501051424202</v>
      </c>
    </row>
    <row r="249" spans="3:18" outlineLevel="1" x14ac:dyDescent="0.3">
      <c r="C249" s="8" t="s">
        <v>94</v>
      </c>
      <c r="D249" s="16" t="s">
        <v>141</v>
      </c>
      <c r="E249" s="228">
        <f xml:space="preserve"> INPUTS│Outcomes!E175</f>
        <v>3768</v>
      </c>
      <c r="F249" s="228">
        <f xml:space="preserve"> INPUTS│Outcomes!F175</f>
        <v>3576</v>
      </c>
      <c r="G249" s="228">
        <f xml:space="preserve"> INPUTS│Outcomes!G175</f>
        <v>3527</v>
      </c>
      <c r="H249" s="228">
        <f xml:space="preserve"> INPUTS│Outcomes!H175</f>
        <v>3193</v>
      </c>
      <c r="I249" s="228">
        <f xml:space="preserve"> INPUTS│Outcomes!I175</f>
        <v>3626</v>
      </c>
      <c r="J249" s="228">
        <f xml:space="preserve"> INPUTS│Outcomes!J175</f>
        <v>3491</v>
      </c>
      <c r="K249" s="228">
        <f xml:space="preserve"> INPUTS│Outcomes!K175</f>
        <v>3172</v>
      </c>
      <c r="L249" s="228">
        <f xml:space="preserve"> INPUTS│Outcomes!L175</f>
        <v>3074</v>
      </c>
      <c r="N249" s="15">
        <f t="shared" si="59"/>
        <v>-694</v>
      </c>
      <c r="O249" s="235">
        <f t="shared" si="60"/>
        <v>-0.18418259023354563</v>
      </c>
      <c r="Q249" s="15">
        <f t="shared" si="61"/>
        <v>-98</v>
      </c>
      <c r="R249" s="235">
        <f t="shared" si="62"/>
        <v>-3.0895334174022699E-2</v>
      </c>
    </row>
    <row r="250" spans="3:18" outlineLevel="1" x14ac:dyDescent="0.3">
      <c r="C250" s="8" t="s">
        <v>96</v>
      </c>
      <c r="D250" s="16" t="s">
        <v>141</v>
      </c>
      <c r="E250" s="228">
        <f xml:space="preserve"> INPUTS│Outcomes!E176</f>
        <v>6022</v>
      </c>
      <c r="F250" s="228">
        <f xml:space="preserve"> INPUTS│Outcomes!F176</f>
        <v>5422</v>
      </c>
      <c r="G250" s="228">
        <f xml:space="preserve"> INPUTS│Outcomes!G176</f>
        <v>5318</v>
      </c>
      <c r="H250" s="228">
        <f xml:space="preserve"> INPUTS│Outcomes!H176</f>
        <v>6021</v>
      </c>
      <c r="I250" s="228">
        <f xml:space="preserve"> INPUTS│Outcomes!I176</f>
        <v>5831</v>
      </c>
      <c r="J250" s="228">
        <f xml:space="preserve"> INPUTS│Outcomes!J176</f>
        <v>5774</v>
      </c>
      <c r="K250" s="228">
        <f xml:space="preserve"> INPUTS│Outcomes!K176</f>
        <v>6105</v>
      </c>
      <c r="L250" s="228">
        <f xml:space="preserve"> INPUTS│Outcomes!L176</f>
        <v>6302</v>
      </c>
      <c r="N250" s="15">
        <f t="shared" si="59"/>
        <v>280</v>
      </c>
      <c r="O250" s="235">
        <f t="shared" si="60"/>
        <v>4.6496180670873466E-2</v>
      </c>
      <c r="Q250" s="15">
        <f t="shared" si="61"/>
        <v>197</v>
      </c>
      <c r="R250" s="235">
        <f t="shared" si="62"/>
        <v>3.2268632268632268E-2</v>
      </c>
    </row>
    <row r="251" spans="3:18" outlineLevel="1" x14ac:dyDescent="0.3">
      <c r="C251" s="8" t="s">
        <v>98</v>
      </c>
      <c r="D251" s="16" t="s">
        <v>141</v>
      </c>
      <c r="E251" s="228">
        <f xml:space="preserve"> INPUTS│Outcomes!E177</f>
        <v>15740</v>
      </c>
      <c r="F251" s="228">
        <f xml:space="preserve"> INPUTS│Outcomes!F177</f>
        <v>14566</v>
      </c>
      <c r="G251" s="228">
        <f xml:space="preserve"> INPUTS│Outcomes!G177</f>
        <v>13980</v>
      </c>
      <c r="H251" s="228">
        <f xml:space="preserve"> INPUTS│Outcomes!H177</f>
        <v>12635</v>
      </c>
      <c r="I251" s="228">
        <f xml:space="preserve"> INPUTS│Outcomes!I177</f>
        <v>12913</v>
      </c>
      <c r="J251" s="228">
        <f xml:space="preserve"> INPUTS│Outcomes!J177</f>
        <v>15341</v>
      </c>
      <c r="K251" s="228">
        <f xml:space="preserve"> INPUTS│Outcomes!K177</f>
        <v>14871</v>
      </c>
      <c r="L251" s="228">
        <f xml:space="preserve"> INPUTS│Outcomes!L177</f>
        <v>13950</v>
      </c>
      <c r="N251" s="15">
        <f t="shared" si="59"/>
        <v>-1790</v>
      </c>
      <c r="O251" s="235">
        <f t="shared" si="60"/>
        <v>-0.11372299872935197</v>
      </c>
      <c r="Q251" s="15">
        <f t="shared" si="61"/>
        <v>-921</v>
      </c>
      <c r="R251" s="235">
        <f t="shared" si="62"/>
        <v>-6.1932620536614885E-2</v>
      </c>
    </row>
    <row r="252" spans="3:18" outlineLevel="1" x14ac:dyDescent="0.3">
      <c r="C252" s="8" t="s">
        <v>100</v>
      </c>
      <c r="D252" s="16" t="s">
        <v>141</v>
      </c>
      <c r="E252" s="228">
        <f xml:space="preserve"> INPUTS│Outcomes!E178</f>
        <v>3050</v>
      </c>
      <c r="F252" s="228">
        <f xml:space="preserve"> INPUTS│Outcomes!F178</f>
        <v>2893</v>
      </c>
      <c r="G252" s="228">
        <f xml:space="preserve"> INPUTS│Outcomes!G178</f>
        <v>3006</v>
      </c>
      <c r="H252" s="228">
        <f xml:space="preserve"> INPUTS│Outcomes!H178</f>
        <v>2431</v>
      </c>
      <c r="I252" s="228">
        <f xml:space="preserve"> INPUTS│Outcomes!I178</f>
        <v>2172</v>
      </c>
      <c r="J252" s="228">
        <f xml:space="preserve"> INPUTS│Outcomes!J178</f>
        <v>2031</v>
      </c>
      <c r="K252" s="228">
        <f xml:space="preserve"> INPUTS│Outcomes!K178</f>
        <v>2010</v>
      </c>
      <c r="L252" s="228">
        <f xml:space="preserve"> INPUTS│Outcomes!L178</f>
        <v>2097</v>
      </c>
      <c r="N252" s="15">
        <f t="shared" si="59"/>
        <v>-953</v>
      </c>
      <c r="O252" s="235">
        <f t="shared" si="60"/>
        <v>-0.31245901639344265</v>
      </c>
      <c r="Q252" s="15">
        <f t="shared" si="61"/>
        <v>87</v>
      </c>
      <c r="R252" s="235">
        <f t="shared" si="62"/>
        <v>4.3283582089552242E-2</v>
      </c>
    </row>
    <row r="253" spans="3:18" outlineLevel="1" x14ac:dyDescent="0.3">
      <c r="C253" s="8" t="s">
        <v>102</v>
      </c>
      <c r="D253" s="16" t="s">
        <v>141</v>
      </c>
      <c r="E253" s="228">
        <f xml:space="preserve"> INPUTS│Outcomes!E179</f>
        <v>11506</v>
      </c>
      <c r="F253" s="228">
        <f xml:space="preserve"> INPUTS│Outcomes!F179</f>
        <v>12879</v>
      </c>
      <c r="G253" s="228">
        <f xml:space="preserve"> INPUTS│Outcomes!G179</f>
        <v>10406</v>
      </c>
      <c r="H253" s="228">
        <f xml:space="preserve"> INPUTS│Outcomes!H179</f>
        <v>10082</v>
      </c>
      <c r="I253" s="228">
        <f xml:space="preserve"> INPUTS│Outcomes!I179</f>
        <v>9673</v>
      </c>
      <c r="J253" s="228">
        <f xml:space="preserve"> INPUTS│Outcomes!J179</f>
        <v>7913</v>
      </c>
      <c r="K253" s="228">
        <f xml:space="preserve"> INPUTS│Outcomes!K179</f>
        <v>8298</v>
      </c>
      <c r="L253" s="228">
        <f xml:space="preserve"> INPUTS│Outcomes!L179</f>
        <v>6573</v>
      </c>
      <c r="N253" s="15">
        <f t="shared" si="59"/>
        <v>-4933</v>
      </c>
      <c r="O253" s="235">
        <f t="shared" si="60"/>
        <v>-0.42873283504258647</v>
      </c>
      <c r="Q253" s="15">
        <f t="shared" si="61"/>
        <v>-1725</v>
      </c>
      <c r="R253" s="235">
        <f t="shared" si="62"/>
        <v>-0.20788141720896602</v>
      </c>
    </row>
    <row r="254" spans="3:18" outlineLevel="1" x14ac:dyDescent="0.3">
      <c r="C254" s="8" t="s">
        <v>104</v>
      </c>
      <c r="D254" s="16" t="s">
        <v>141</v>
      </c>
      <c r="E254" s="228">
        <f xml:space="preserve"> INPUTS│Outcomes!E180</f>
        <v>3730</v>
      </c>
      <c r="F254" s="228">
        <f xml:space="preserve"> INPUTS│Outcomes!F180</f>
        <v>3783</v>
      </c>
      <c r="G254" s="228">
        <f xml:space="preserve"> INPUTS│Outcomes!G180</f>
        <v>3743</v>
      </c>
      <c r="H254" s="228">
        <f xml:space="preserve"> INPUTS│Outcomes!H180</f>
        <v>3552</v>
      </c>
      <c r="I254" s="228">
        <f xml:space="preserve"> INPUTS│Outcomes!I180</f>
        <v>3526</v>
      </c>
      <c r="J254" s="228">
        <f xml:space="preserve"> INPUTS│Outcomes!J180</f>
        <v>3070</v>
      </c>
      <c r="K254" s="228">
        <f xml:space="preserve"> INPUTS│Outcomes!K180</f>
        <v>3093</v>
      </c>
      <c r="L254" s="228">
        <f xml:space="preserve"> INPUTS│Outcomes!L180</f>
        <v>3066</v>
      </c>
      <c r="N254" s="15">
        <f t="shared" si="59"/>
        <v>-664</v>
      </c>
      <c r="O254" s="235">
        <f t="shared" si="60"/>
        <v>-0.17801608579088471</v>
      </c>
      <c r="Q254" s="15">
        <f t="shared" si="61"/>
        <v>-27</v>
      </c>
      <c r="R254" s="235">
        <f t="shared" si="62"/>
        <v>-8.7293889427740058E-3</v>
      </c>
    </row>
    <row r="255" spans="3:18" outlineLevel="1" x14ac:dyDescent="0.3">
      <c r="C255" s="8" t="s">
        <v>106</v>
      </c>
      <c r="D255" s="16" t="s">
        <v>141</v>
      </c>
      <c r="E255" s="228">
        <f xml:space="preserve"> INPUTS│Outcomes!E181</f>
        <v>2588</v>
      </c>
      <c r="F255" s="228">
        <f xml:space="preserve"> INPUTS│Outcomes!F181</f>
        <v>2320</v>
      </c>
      <c r="G255" s="228">
        <f xml:space="preserve"> INPUTS│Outcomes!G181</f>
        <v>2660</v>
      </c>
      <c r="H255" s="228">
        <f xml:space="preserve"> INPUTS│Outcomes!H181</f>
        <v>2427</v>
      </c>
      <c r="I255" s="228">
        <f xml:space="preserve"> INPUTS│Outcomes!I181</f>
        <v>2275</v>
      </c>
      <c r="J255" s="228">
        <f xml:space="preserve"> INPUTS│Outcomes!J181</f>
        <v>1800</v>
      </c>
      <c r="K255" s="228">
        <f xml:space="preserve"> INPUTS│Outcomes!K181</f>
        <v>2019</v>
      </c>
      <c r="L255" s="228">
        <f xml:space="preserve"> INPUTS│Outcomes!L181</f>
        <v>1766</v>
      </c>
      <c r="N255" s="15">
        <f t="shared" si="59"/>
        <v>-822</v>
      </c>
      <c r="O255" s="235">
        <f t="shared" si="60"/>
        <v>-0.31761978361669241</v>
      </c>
      <c r="Q255" s="15">
        <f t="shared" si="61"/>
        <v>-253</v>
      </c>
      <c r="R255" s="235">
        <f t="shared" si="62"/>
        <v>-0.12530955918771669</v>
      </c>
    </row>
    <row r="256" spans="3:18" outlineLevel="1" x14ac:dyDescent="0.3">
      <c r="C256" s="8" t="s">
        <v>108</v>
      </c>
      <c r="D256" s="16" t="s">
        <v>141</v>
      </c>
      <c r="E256" s="228">
        <f xml:space="preserve"> INPUTS│Outcomes!E182</f>
        <v>365</v>
      </c>
      <c r="F256" s="228">
        <f xml:space="preserve"> INPUTS│Outcomes!F182</f>
        <v>307</v>
      </c>
      <c r="G256" s="228">
        <f xml:space="preserve"> INPUTS│Outcomes!G182</f>
        <v>583</v>
      </c>
      <c r="H256" s="228">
        <f xml:space="preserve"> INPUTS│Outcomes!H182</f>
        <v>398</v>
      </c>
      <c r="I256" s="228">
        <f xml:space="preserve"> INPUTS│Outcomes!I182</f>
        <v>468</v>
      </c>
      <c r="J256" s="228">
        <f xml:space="preserve"> INPUTS│Outcomes!J182</f>
        <v>389</v>
      </c>
      <c r="K256" s="228">
        <f xml:space="preserve"> INPUTS│Outcomes!K182</f>
        <v>312</v>
      </c>
      <c r="L256" s="228">
        <f xml:space="preserve"> INPUTS│Outcomes!L182</f>
        <v>282</v>
      </c>
      <c r="N256" s="15">
        <f t="shared" si="59"/>
        <v>-83</v>
      </c>
      <c r="O256" s="235">
        <f t="shared" si="60"/>
        <v>-0.22739726027397261</v>
      </c>
      <c r="Q256" s="15">
        <f t="shared" si="61"/>
        <v>-30</v>
      </c>
      <c r="R256" s="235">
        <f t="shared" si="62"/>
        <v>-9.6153846153846159E-2</v>
      </c>
    </row>
    <row r="257" spans="2:19" outlineLevel="1" x14ac:dyDescent="0.3">
      <c r="C257" s="8" t="s">
        <v>112</v>
      </c>
      <c r="D257" s="16" t="s">
        <v>141</v>
      </c>
      <c r="E257" s="228">
        <f xml:space="preserve"> INPUTS│Outcomes!E183</f>
        <v>4983</v>
      </c>
      <c r="F257" s="228">
        <f xml:space="preserve"> INPUTS│Outcomes!F183</f>
        <v>5023</v>
      </c>
      <c r="G257" s="228">
        <f xml:space="preserve"> INPUTS│Outcomes!G183</f>
        <v>5012</v>
      </c>
      <c r="H257" s="228">
        <f xml:space="preserve"> INPUTS│Outcomes!H183</f>
        <v>4609</v>
      </c>
      <c r="I257" s="228">
        <f xml:space="preserve"> INPUTS│Outcomes!I183</f>
        <v>4255</v>
      </c>
      <c r="J257" s="228">
        <f xml:space="preserve"> INPUTS│Outcomes!J183</f>
        <v>4087</v>
      </c>
      <c r="K257" s="228">
        <f xml:space="preserve"> INPUTS│Outcomes!K183</f>
        <v>3320</v>
      </c>
      <c r="L257" s="228">
        <f xml:space="preserve"> INPUTS│Outcomes!L183</f>
        <v>3067</v>
      </c>
      <c r="N257" s="15">
        <f t="shared" si="59"/>
        <v>-1916</v>
      </c>
      <c r="O257" s="235">
        <f t="shared" si="60"/>
        <v>-0.38450732490467587</v>
      </c>
      <c r="Q257" s="15">
        <f t="shared" si="61"/>
        <v>-253</v>
      </c>
      <c r="R257" s="235">
        <f t="shared" si="62"/>
        <v>-7.620481927710844E-2</v>
      </c>
    </row>
    <row r="258" spans="2:19" outlineLevel="1" x14ac:dyDescent="0.3">
      <c r="C258" s="8" t="s">
        <v>114</v>
      </c>
      <c r="D258" s="16" t="s">
        <v>141</v>
      </c>
      <c r="E258" s="228">
        <f xml:space="preserve"> INPUTS│Outcomes!E184</f>
        <v>2899</v>
      </c>
      <c r="F258" s="228">
        <f xml:space="preserve"> INPUTS│Outcomes!F184</f>
        <v>3025</v>
      </c>
      <c r="G258" s="228">
        <f xml:space="preserve"> INPUTS│Outcomes!G184</f>
        <v>2532</v>
      </c>
      <c r="H258" s="228">
        <f xml:space="preserve"> INPUTS│Outcomes!H184</f>
        <v>3176</v>
      </c>
      <c r="I258" s="228">
        <f xml:space="preserve"> INPUTS│Outcomes!I184</f>
        <v>2712</v>
      </c>
      <c r="J258" s="228">
        <f xml:space="preserve"> INPUTS│Outcomes!J184</f>
        <v>2354</v>
      </c>
      <c r="K258" s="228">
        <f xml:space="preserve"> INPUTS│Outcomes!K184</f>
        <v>2513</v>
      </c>
      <c r="L258" s="228">
        <f xml:space="preserve"> INPUTS│Outcomes!L184</f>
        <v>2002</v>
      </c>
      <c r="N258" s="15">
        <f t="shared" si="59"/>
        <v>-897</v>
      </c>
      <c r="O258" s="235">
        <f t="shared" si="60"/>
        <v>-0.3094170403587444</v>
      </c>
      <c r="Q258" s="15">
        <f t="shared" si="61"/>
        <v>-511</v>
      </c>
      <c r="R258" s="235">
        <f t="shared" si="62"/>
        <v>-0.20334261838440112</v>
      </c>
    </row>
    <row r="259" spans="2:19" outlineLevel="1" x14ac:dyDescent="0.3">
      <c r="C259" s="8" t="s">
        <v>110</v>
      </c>
      <c r="D259" s="16" t="s">
        <v>141</v>
      </c>
      <c r="E259" s="228">
        <f xml:space="preserve"> INPUTS│Outcomes!E185</f>
        <v>386</v>
      </c>
      <c r="F259" s="228">
        <f xml:space="preserve"> INPUTS│Outcomes!F185</f>
        <v>346</v>
      </c>
      <c r="G259" s="228">
        <f xml:space="preserve"> INPUTS│Outcomes!G185</f>
        <v>559</v>
      </c>
      <c r="H259" s="228">
        <f xml:space="preserve"> INPUTS│Outcomes!H185</f>
        <v>437</v>
      </c>
      <c r="I259" s="228">
        <f xml:space="preserve"> INPUTS│Outcomes!I185</f>
        <v>389</v>
      </c>
      <c r="J259" s="228">
        <f xml:space="preserve"> INPUTS│Outcomes!J185</f>
        <v>383</v>
      </c>
      <c r="K259" s="228">
        <f xml:space="preserve"> INPUTS│Outcomes!K185</f>
        <v>403</v>
      </c>
      <c r="L259" s="228">
        <f xml:space="preserve"> INPUTS│Outcomes!L185</f>
        <v>343</v>
      </c>
      <c r="N259" s="15">
        <f xml:space="preserve"> INDEX( E259:L259, 1, MATCH( Year, $E$2:$L$2, 0 ) ) - E259</f>
        <v>-43</v>
      </c>
      <c r="O259" s="235">
        <f xml:space="preserve"> IF( E259 = 0, "-", N259 / E259 )</f>
        <v>-0.11139896373056994</v>
      </c>
      <c r="Q259" s="15">
        <f t="shared" si="61"/>
        <v>-60</v>
      </c>
      <c r="R259" s="235">
        <f t="shared" si="62"/>
        <v>-0.14888337468982629</v>
      </c>
    </row>
    <row r="260" spans="2:19" outlineLevel="1" x14ac:dyDescent="0.3">
      <c r="N260" s="55"/>
      <c r="Q260" s="55"/>
    </row>
    <row r="261" spans="2:19" outlineLevel="1" x14ac:dyDescent="0.3">
      <c r="C261" s="12" t="s">
        <v>424</v>
      </c>
      <c r="D261" s="3" t="s">
        <v>141</v>
      </c>
      <c r="E261" s="15">
        <f>SUM(E243:E259)</f>
        <v>104545</v>
      </c>
      <c r="F261" s="15">
        <f t="shared" ref="F261:L261" si="63">SUM(F243:F259)</f>
        <v>106629</v>
      </c>
      <c r="G261" s="15">
        <f t="shared" si="63"/>
        <v>99018</v>
      </c>
      <c r="H261" s="15">
        <f t="shared" si="63"/>
        <v>93228</v>
      </c>
      <c r="I261" s="15">
        <f t="shared" si="63"/>
        <v>93189</v>
      </c>
      <c r="J261" s="15">
        <f t="shared" si="63"/>
        <v>87469</v>
      </c>
      <c r="K261" s="15">
        <f t="shared" si="63"/>
        <v>86574</v>
      </c>
      <c r="L261" s="15">
        <f t="shared" si="63"/>
        <v>77864</v>
      </c>
      <c r="N261" s="15">
        <f xml:space="preserve"> INDEX( E261:L261, 1, MATCH( Year, $E$2:$L$2, 0 ) ) - E261</f>
        <v>-26681</v>
      </c>
      <c r="O261" s="235">
        <f xml:space="preserve"> IF( E261 = 0, "-", N261 / E261 )</f>
        <v>-0.25521067482902099</v>
      </c>
      <c r="Q261" s="15">
        <f xml:space="preserve"> INDEX( E261:L261, 1, MATCH( Year, $E$2:$L$2, 0 ) ) - INDEX( E261:L261, 1, MATCH( Last_year, $E$2:$L$2, 0 ) )</f>
        <v>-8710</v>
      </c>
      <c r="R261" s="235">
        <f xml:space="preserve"> IF( INDEX( $E261:$L261, 1, MATCH( Last_year, $E$2:$L$2, 0 ) ) = 0, "-", Q261 / INDEX( $E261:$L261, 1, MATCH( Last_year, $E$2:$L$2, 0 ) ) )</f>
        <v>-0.10060757271236168</v>
      </c>
    </row>
    <row r="263" spans="2:19" ht="13.5" x14ac:dyDescent="0.35">
      <c r="B263" s="9" t="s">
        <v>166</v>
      </c>
      <c r="C263" s="9"/>
      <c r="D263" s="10"/>
      <c r="E263" s="10"/>
      <c r="F263" s="10"/>
      <c r="G263" s="10"/>
      <c r="H263" s="10"/>
      <c r="I263" s="10"/>
      <c r="J263" s="10"/>
      <c r="K263" s="10"/>
      <c r="L263" s="10"/>
      <c r="M263" s="10"/>
      <c r="N263" s="10"/>
      <c r="O263" s="60"/>
      <c r="P263" s="10"/>
      <c r="Q263" s="10"/>
      <c r="R263" s="60"/>
      <c r="S263" s="10"/>
    </row>
    <row r="264" spans="2:19" outlineLevel="1" x14ac:dyDescent="0.3">
      <c r="E264" s="11"/>
      <c r="F264" s="11"/>
      <c r="G264" s="11"/>
      <c r="H264" s="11"/>
      <c r="I264" s="11"/>
      <c r="J264" s="11"/>
      <c r="K264" s="11"/>
      <c r="L264" s="11"/>
      <c r="M264" s="11"/>
      <c r="N264" s="11"/>
      <c r="O264" s="24"/>
      <c r="P264" s="11"/>
      <c r="Q264" s="11"/>
      <c r="R264" s="24"/>
      <c r="S264" s="11"/>
    </row>
    <row r="265" spans="2:19" ht="13.5" outlineLevel="1" x14ac:dyDescent="0.35">
      <c r="B265" s="31" t="s">
        <v>480</v>
      </c>
      <c r="C265" s="31"/>
      <c r="D265" s="28"/>
      <c r="E265" s="28"/>
      <c r="F265" s="28"/>
      <c r="G265" s="28"/>
      <c r="H265" s="28"/>
      <c r="I265" s="28"/>
      <c r="J265" s="28"/>
      <c r="K265" s="28"/>
      <c r="L265" s="28"/>
      <c r="M265" s="28"/>
      <c r="N265" s="28"/>
      <c r="O265" s="57"/>
      <c r="P265" s="28"/>
      <c r="Q265" s="28"/>
      <c r="R265" s="57"/>
      <c r="S265" s="28"/>
    </row>
    <row r="266" spans="2:19" outlineLevel="1" x14ac:dyDescent="0.3"/>
    <row r="267" spans="2:19" ht="30" customHeight="1" outlineLevel="1" x14ac:dyDescent="0.3">
      <c r="N267" s="51" t="s">
        <v>579</v>
      </c>
      <c r="O267" s="52" t="s">
        <v>576</v>
      </c>
      <c r="Q267" s="51" t="str">
        <f xml:space="preserve"> "Net change (from " &amp; Last_year &amp; ")"</f>
        <v>Net change (from 2018-19)</v>
      </c>
      <c r="R267" s="52" t="s">
        <v>576</v>
      </c>
    </row>
    <row r="268" spans="2:19" outlineLevel="1" x14ac:dyDescent="0.3">
      <c r="C268" s="8" t="s">
        <v>80</v>
      </c>
      <c r="D268" s="16" t="s">
        <v>141</v>
      </c>
      <c r="E268" s="228">
        <f xml:space="preserve"> INPUTS│Outcomes!E193</f>
        <v>0</v>
      </c>
      <c r="F268" s="228">
        <f xml:space="preserve"> INPUTS│Outcomes!F193</f>
        <v>0</v>
      </c>
      <c r="G268" s="228">
        <f xml:space="preserve"> INPUTS│Outcomes!G193</f>
        <v>475</v>
      </c>
      <c r="H268" s="228">
        <f xml:space="preserve"> INPUTS│Outcomes!H193</f>
        <v>411</v>
      </c>
      <c r="I268" s="228">
        <f xml:space="preserve"> INPUTS│Outcomes!I193</f>
        <v>430</v>
      </c>
      <c r="J268" s="228">
        <f xml:space="preserve"> INPUTS│Outcomes!J193</f>
        <v>396</v>
      </c>
      <c r="K268" s="228">
        <f xml:space="preserve"> INPUTS│Outcomes!K193</f>
        <v>342</v>
      </c>
      <c r="L268" s="228">
        <f xml:space="preserve"> INPUTS│Outcomes!L193</f>
        <v>296</v>
      </c>
      <c r="N268" s="15">
        <f t="shared" ref="N268:N278" si="64" xml:space="preserve"> INDEX( E268:L268, 1, MATCH( Year, $E$2:$L$2, 0 ) ) - G268</f>
        <v>-179</v>
      </c>
      <c r="O268" s="235">
        <f xml:space="preserve"> IF( G268 = 0, "-", N268 / G268 )</f>
        <v>-0.37684210526315787</v>
      </c>
      <c r="Q268" s="15">
        <f xml:space="preserve"> INDEX( E268:L268, 1, MATCH( Year, $E$2:$L$2, 0 ) ) - INDEX( E268:L268, 1, MATCH( Last_year, $E$2:$L$2, 0 ) )</f>
        <v>-46</v>
      </c>
      <c r="R268" s="235">
        <f t="shared" ref="R268:R278" si="65" xml:space="preserve"> IF( INDEX( $E268:$L268, 1, MATCH( Last_year, $E$2:$L$2, 0 ) ) = 0, "-", Q268 / INDEX( $E268:$L268, 1, MATCH( Last_year, $E$2:$L$2, 0 ) ) )</f>
        <v>-0.13450292397660818</v>
      </c>
    </row>
    <row r="269" spans="2:19" outlineLevel="1" x14ac:dyDescent="0.3">
      <c r="C269" s="8" t="s">
        <v>82</v>
      </c>
      <c r="D269" s="16" t="s">
        <v>141</v>
      </c>
      <c r="E269" s="228">
        <f xml:space="preserve"> INPUTS│Outcomes!E194</f>
        <v>0</v>
      </c>
      <c r="F269" s="228">
        <f xml:space="preserve"> INPUTS│Outcomes!F194</f>
        <v>0</v>
      </c>
      <c r="G269" s="228">
        <f xml:space="preserve"> INPUTS│Outcomes!G194</f>
        <v>265</v>
      </c>
      <c r="H269" s="228">
        <f xml:space="preserve"> INPUTS│Outcomes!H194</f>
        <v>223</v>
      </c>
      <c r="I269" s="228">
        <f xml:space="preserve"> INPUTS│Outcomes!I194</f>
        <v>242</v>
      </c>
      <c r="J269" s="228">
        <f xml:space="preserve"> INPUTS│Outcomes!J194</f>
        <v>221</v>
      </c>
      <c r="K269" s="228">
        <f xml:space="preserve"> INPUTS│Outcomes!K194</f>
        <v>221</v>
      </c>
      <c r="L269" s="228">
        <f xml:space="preserve"> INPUTS│Outcomes!L194</f>
        <v>216</v>
      </c>
      <c r="N269" s="15">
        <f t="shared" si="64"/>
        <v>-49</v>
      </c>
      <c r="O269" s="235">
        <f t="shared" ref="O269:O280" si="66" xml:space="preserve"> IF( G269 = 0, "-", N269 / G269 )</f>
        <v>-0.18490566037735848</v>
      </c>
      <c r="Q269" s="15">
        <f t="shared" ref="Q269:Q278" si="67" xml:space="preserve"> INDEX( E269:L269, 1, MATCH( Year, $E$2:$L$2, 0 ) ) - INDEX( E269:L269, 1, MATCH( Last_year, $E$2:$L$2, 0 ) )</f>
        <v>-5</v>
      </c>
      <c r="R269" s="235">
        <f t="shared" si="65"/>
        <v>-2.2624434389140271E-2</v>
      </c>
    </row>
    <row r="270" spans="2:19" outlineLevel="1" x14ac:dyDescent="0.3">
      <c r="C270" s="8" t="s">
        <v>85</v>
      </c>
      <c r="D270" s="16" t="s">
        <v>141</v>
      </c>
      <c r="E270" s="228">
        <f xml:space="preserve"> INPUTS│Outcomes!E195</f>
        <v>0</v>
      </c>
      <c r="F270" s="228">
        <f xml:space="preserve"> INPUTS│Outcomes!F195</f>
        <v>0</v>
      </c>
      <c r="G270" s="228">
        <f xml:space="preserve"> INPUTS│Outcomes!G195</f>
        <v>0</v>
      </c>
      <c r="H270" s="228">
        <f xml:space="preserve"> INPUTS│Outcomes!H195</f>
        <v>0</v>
      </c>
      <c r="I270" s="228">
        <f xml:space="preserve"> INPUTS│Outcomes!I195</f>
        <v>0</v>
      </c>
      <c r="J270" s="228">
        <f xml:space="preserve"> INPUTS│Outcomes!J195</f>
        <v>0</v>
      </c>
      <c r="K270" s="228">
        <f xml:space="preserve"> INPUTS│Outcomes!K195</f>
        <v>4</v>
      </c>
      <c r="L270" s="228">
        <f xml:space="preserve"> INPUTS│Outcomes!L195</f>
        <v>10</v>
      </c>
      <c r="N270" s="15">
        <f t="shared" si="64"/>
        <v>10</v>
      </c>
      <c r="O270" s="235" t="str">
        <f t="shared" si="66"/>
        <v>-</v>
      </c>
      <c r="Q270" s="15">
        <f t="shared" si="67"/>
        <v>6</v>
      </c>
      <c r="R270" s="235">
        <f t="shared" si="65"/>
        <v>1.5</v>
      </c>
    </row>
    <row r="271" spans="2:19" outlineLevel="1" x14ac:dyDescent="0.3">
      <c r="C271" s="8" t="s">
        <v>87</v>
      </c>
      <c r="D271" s="16" t="s">
        <v>141</v>
      </c>
      <c r="E271" s="228">
        <f xml:space="preserve"> INPUTS│Outcomes!E196</f>
        <v>0</v>
      </c>
      <c r="F271" s="228">
        <f xml:space="preserve"> INPUTS│Outcomes!F196</f>
        <v>0</v>
      </c>
      <c r="G271" s="228">
        <f xml:space="preserve"> INPUTS│Outcomes!G196</f>
        <v>463</v>
      </c>
      <c r="H271" s="228">
        <f xml:space="preserve"> INPUTS│Outcomes!H196</f>
        <v>389</v>
      </c>
      <c r="I271" s="228">
        <f xml:space="preserve"> INPUTS│Outcomes!I196</f>
        <v>353</v>
      </c>
      <c r="J271" s="228">
        <f xml:space="preserve"> INPUTS│Outcomes!J196</f>
        <v>310</v>
      </c>
      <c r="K271" s="228">
        <f xml:space="preserve"> INPUTS│Outcomes!K196</f>
        <v>402</v>
      </c>
      <c r="L271" s="228">
        <f xml:space="preserve"> INPUTS│Outcomes!L196</f>
        <v>384</v>
      </c>
      <c r="N271" s="15">
        <f t="shared" si="64"/>
        <v>-79</v>
      </c>
      <c r="O271" s="235">
        <f t="shared" si="66"/>
        <v>-0.17062634989200864</v>
      </c>
      <c r="Q271" s="15">
        <f t="shared" si="67"/>
        <v>-18</v>
      </c>
      <c r="R271" s="235">
        <f t="shared" si="65"/>
        <v>-4.4776119402985072E-2</v>
      </c>
    </row>
    <row r="272" spans="2:19" outlineLevel="1" x14ac:dyDescent="0.3">
      <c r="C272" s="8" t="s">
        <v>89</v>
      </c>
      <c r="D272" s="16" t="s">
        <v>141</v>
      </c>
      <c r="E272" s="228">
        <f xml:space="preserve"> INPUTS│Outcomes!E197</f>
        <v>0</v>
      </c>
      <c r="F272" s="228">
        <f xml:space="preserve"> INPUTS│Outcomes!F197</f>
        <v>0</v>
      </c>
      <c r="G272" s="228">
        <f xml:space="preserve"> INPUTS│Outcomes!G197</f>
        <v>1168</v>
      </c>
      <c r="H272" s="228">
        <f xml:space="preserve"> INPUTS│Outcomes!H197</f>
        <v>809</v>
      </c>
      <c r="I272" s="228">
        <f xml:space="preserve"> INPUTS│Outcomes!I197</f>
        <v>901</v>
      </c>
      <c r="J272" s="228">
        <f xml:space="preserve"> INPUTS│Outcomes!J197</f>
        <v>662</v>
      </c>
      <c r="K272" s="228">
        <f xml:space="preserve"> INPUTS│Outcomes!K197</f>
        <v>725</v>
      </c>
      <c r="L272" s="228">
        <f xml:space="preserve"> INPUTS│Outcomes!L197</f>
        <v>926</v>
      </c>
      <c r="N272" s="15">
        <f t="shared" si="64"/>
        <v>-242</v>
      </c>
      <c r="O272" s="235">
        <f t="shared" si="66"/>
        <v>-0.2071917808219178</v>
      </c>
      <c r="Q272" s="15">
        <f t="shared" si="67"/>
        <v>201</v>
      </c>
      <c r="R272" s="235">
        <f t="shared" si="65"/>
        <v>0.27724137931034482</v>
      </c>
    </row>
    <row r="273" spans="2:19" outlineLevel="1" x14ac:dyDescent="0.3">
      <c r="C273" s="8" t="s">
        <v>91</v>
      </c>
      <c r="D273" s="16" t="s">
        <v>141</v>
      </c>
      <c r="E273" s="228">
        <f xml:space="preserve"> INPUTS│Outcomes!E198</f>
        <v>0</v>
      </c>
      <c r="F273" s="228">
        <f xml:space="preserve"> INPUTS│Outcomes!F198</f>
        <v>0</v>
      </c>
      <c r="G273" s="228">
        <f xml:space="preserve"> INPUTS│Outcomes!G198</f>
        <v>182</v>
      </c>
      <c r="H273" s="228">
        <f xml:space="preserve"> INPUTS│Outcomes!H198</f>
        <v>189</v>
      </c>
      <c r="I273" s="228">
        <f xml:space="preserve"> INPUTS│Outcomes!I198</f>
        <v>165</v>
      </c>
      <c r="J273" s="228">
        <f xml:space="preserve"> INPUTS│Outcomes!J198</f>
        <v>141</v>
      </c>
      <c r="K273" s="228">
        <f xml:space="preserve"> INPUTS│Outcomes!K198</f>
        <v>93</v>
      </c>
      <c r="L273" s="228">
        <f xml:space="preserve"> INPUTS│Outcomes!L198</f>
        <v>160</v>
      </c>
      <c r="N273" s="15">
        <f t="shared" si="64"/>
        <v>-22</v>
      </c>
      <c r="O273" s="235">
        <f t="shared" si="66"/>
        <v>-0.12087912087912088</v>
      </c>
      <c r="Q273" s="15">
        <f t="shared" si="67"/>
        <v>67</v>
      </c>
      <c r="R273" s="235">
        <f t="shared" si="65"/>
        <v>0.72043010752688175</v>
      </c>
    </row>
    <row r="274" spans="2:19" outlineLevel="1" x14ac:dyDescent="0.3">
      <c r="C274" s="8" t="s">
        <v>94</v>
      </c>
      <c r="D274" s="16" t="s">
        <v>141</v>
      </c>
      <c r="E274" s="228">
        <f xml:space="preserve"> INPUTS│Outcomes!E199</f>
        <v>0</v>
      </c>
      <c r="F274" s="228">
        <f xml:space="preserve"> INPUTS│Outcomes!F199</f>
        <v>0</v>
      </c>
      <c r="G274" s="228">
        <f xml:space="preserve"> INPUTS│Outcomes!G199</f>
        <v>487</v>
      </c>
      <c r="H274" s="228">
        <f xml:space="preserve"> INPUTS│Outcomes!H199</f>
        <v>492</v>
      </c>
      <c r="I274" s="228">
        <f xml:space="preserve"> INPUTS│Outcomes!I199</f>
        <v>448</v>
      </c>
      <c r="J274" s="228">
        <f xml:space="preserve"> INPUTS│Outcomes!J199</f>
        <v>401</v>
      </c>
      <c r="K274" s="228">
        <f xml:space="preserve"> INPUTS│Outcomes!K199</f>
        <v>389</v>
      </c>
      <c r="L274" s="228">
        <f xml:space="preserve"> INPUTS│Outcomes!L199</f>
        <v>453</v>
      </c>
      <c r="N274" s="15">
        <f t="shared" si="64"/>
        <v>-34</v>
      </c>
      <c r="O274" s="235">
        <f t="shared" si="66"/>
        <v>-6.9815195071868577E-2</v>
      </c>
      <c r="Q274" s="15">
        <f t="shared" si="67"/>
        <v>64</v>
      </c>
      <c r="R274" s="235">
        <f t="shared" si="65"/>
        <v>0.16452442159383032</v>
      </c>
    </row>
    <row r="275" spans="2:19" outlineLevel="1" x14ac:dyDescent="0.3">
      <c r="C275" s="8" t="s">
        <v>96</v>
      </c>
      <c r="D275" s="16" t="s">
        <v>141</v>
      </c>
      <c r="E275" s="228">
        <f xml:space="preserve"> INPUTS│Outcomes!E200</f>
        <v>0</v>
      </c>
      <c r="F275" s="228">
        <f xml:space="preserve"> INPUTS│Outcomes!F200</f>
        <v>0</v>
      </c>
      <c r="G275" s="228">
        <f xml:space="preserve"> INPUTS│Outcomes!G200</f>
        <v>1655</v>
      </c>
      <c r="H275" s="228">
        <f xml:space="preserve"> INPUTS│Outcomes!H200</f>
        <v>1403</v>
      </c>
      <c r="I275" s="228">
        <f xml:space="preserve"> INPUTS│Outcomes!I200</f>
        <v>1214</v>
      </c>
      <c r="J275" s="228">
        <f xml:space="preserve"> INPUTS│Outcomes!J200</f>
        <v>1062</v>
      </c>
      <c r="K275" s="228">
        <f xml:space="preserve"> INPUTS│Outcomes!K200</f>
        <v>1032</v>
      </c>
      <c r="L275" s="228">
        <f xml:space="preserve"> INPUTS│Outcomes!L200</f>
        <v>1058</v>
      </c>
      <c r="N275" s="15">
        <f t="shared" si="64"/>
        <v>-597</v>
      </c>
      <c r="O275" s="235">
        <f t="shared" si="66"/>
        <v>-0.36072507552870092</v>
      </c>
      <c r="Q275" s="15">
        <f t="shared" si="67"/>
        <v>26</v>
      </c>
      <c r="R275" s="235">
        <f t="shared" si="65"/>
        <v>2.5193798449612403E-2</v>
      </c>
    </row>
    <row r="276" spans="2:19" outlineLevel="1" x14ac:dyDescent="0.3">
      <c r="C276" s="8" t="s">
        <v>98</v>
      </c>
      <c r="D276" s="16" t="s">
        <v>141</v>
      </c>
      <c r="E276" s="228">
        <f xml:space="preserve"> INPUTS│Outcomes!E201</f>
        <v>0</v>
      </c>
      <c r="F276" s="228">
        <f xml:space="preserve"> INPUTS│Outcomes!F201</f>
        <v>0</v>
      </c>
      <c r="G276" s="228">
        <f xml:space="preserve"> INPUTS│Outcomes!G201</f>
        <v>808</v>
      </c>
      <c r="H276" s="228">
        <f xml:space="preserve"> INPUTS│Outcomes!H201</f>
        <v>986</v>
      </c>
      <c r="I276" s="228">
        <f xml:space="preserve"> INPUTS│Outcomes!I201</f>
        <v>941</v>
      </c>
      <c r="J276" s="228">
        <f xml:space="preserve"> INPUTS│Outcomes!J201</f>
        <v>650</v>
      </c>
      <c r="K276" s="228">
        <f xml:space="preserve"> INPUTS│Outcomes!K201</f>
        <v>566</v>
      </c>
      <c r="L276" s="228">
        <f xml:space="preserve"> INPUTS│Outcomes!L201</f>
        <v>774</v>
      </c>
      <c r="N276" s="15">
        <f t="shared" si="64"/>
        <v>-34</v>
      </c>
      <c r="O276" s="235">
        <f t="shared" si="66"/>
        <v>-4.2079207920792082E-2</v>
      </c>
      <c r="Q276" s="15">
        <f t="shared" si="67"/>
        <v>208</v>
      </c>
      <c r="R276" s="235">
        <f t="shared" si="65"/>
        <v>0.36749116607773852</v>
      </c>
    </row>
    <row r="277" spans="2:19" outlineLevel="1" x14ac:dyDescent="0.3">
      <c r="C277" s="8" t="s">
        <v>100</v>
      </c>
      <c r="D277" s="16" t="s">
        <v>141</v>
      </c>
      <c r="E277" s="228">
        <f xml:space="preserve"> INPUTS│Outcomes!E202</f>
        <v>0</v>
      </c>
      <c r="F277" s="228">
        <f xml:space="preserve"> INPUTS│Outcomes!F202</f>
        <v>0</v>
      </c>
      <c r="G277" s="228">
        <f xml:space="preserve"> INPUTS│Outcomes!G202</f>
        <v>140</v>
      </c>
      <c r="H277" s="228">
        <f xml:space="preserve"> INPUTS│Outcomes!H202</f>
        <v>167</v>
      </c>
      <c r="I277" s="228">
        <f xml:space="preserve"> INPUTS│Outcomes!I202</f>
        <v>148</v>
      </c>
      <c r="J277" s="228">
        <f xml:space="preserve"> INPUTS│Outcomes!J202</f>
        <v>151</v>
      </c>
      <c r="K277" s="228">
        <f xml:space="preserve"> INPUTS│Outcomes!K202</f>
        <v>179</v>
      </c>
      <c r="L277" s="228">
        <f xml:space="preserve"> INPUTS│Outcomes!L202</f>
        <v>146</v>
      </c>
      <c r="N277" s="15">
        <f t="shared" si="64"/>
        <v>6</v>
      </c>
      <c r="O277" s="235">
        <f t="shared" si="66"/>
        <v>4.2857142857142858E-2</v>
      </c>
      <c r="Q277" s="15">
        <f t="shared" si="67"/>
        <v>-33</v>
      </c>
      <c r="R277" s="235">
        <f t="shared" si="65"/>
        <v>-0.18435754189944134</v>
      </c>
    </row>
    <row r="278" spans="2:19" outlineLevel="1" x14ac:dyDescent="0.3">
      <c r="C278" s="8" t="s">
        <v>102</v>
      </c>
      <c r="D278" s="16" t="s">
        <v>141</v>
      </c>
      <c r="E278" s="228">
        <f xml:space="preserve"> INPUTS│Outcomes!E203</f>
        <v>0</v>
      </c>
      <c r="F278" s="228">
        <f xml:space="preserve"> INPUTS│Outcomes!F203</f>
        <v>0</v>
      </c>
      <c r="G278" s="228">
        <f xml:space="preserve"> INPUTS│Outcomes!G203</f>
        <v>1947</v>
      </c>
      <c r="H278" s="228">
        <f xml:space="preserve"> INPUTS│Outcomes!H203</f>
        <v>1842</v>
      </c>
      <c r="I278" s="228">
        <f xml:space="preserve"> INPUTS│Outcomes!I203</f>
        <v>1769</v>
      </c>
      <c r="J278" s="228">
        <f xml:space="preserve"> INPUTS│Outcomes!J203</f>
        <v>1682</v>
      </c>
      <c r="K278" s="228">
        <f xml:space="preserve"> INPUTS│Outcomes!K203</f>
        <v>1692</v>
      </c>
      <c r="L278" s="228">
        <f xml:space="preserve"> INPUTS│Outcomes!L203</f>
        <v>1602</v>
      </c>
      <c r="N278" s="15">
        <f t="shared" si="64"/>
        <v>-345</v>
      </c>
      <c r="O278" s="235">
        <f t="shared" si="66"/>
        <v>-0.17719568567026195</v>
      </c>
      <c r="Q278" s="15">
        <f t="shared" si="67"/>
        <v>-90</v>
      </c>
      <c r="R278" s="235">
        <f t="shared" si="65"/>
        <v>-5.3191489361702128E-2</v>
      </c>
    </row>
    <row r="279" spans="2:19" outlineLevel="1" x14ac:dyDescent="0.3"/>
    <row r="280" spans="2:19" outlineLevel="1" x14ac:dyDescent="0.3">
      <c r="C280" s="2" t="s">
        <v>424</v>
      </c>
      <c r="D280" s="3" t="s">
        <v>141</v>
      </c>
      <c r="E280" s="15">
        <f t="shared" ref="E280:L280" si="68">SUM(E268:E278)</f>
        <v>0</v>
      </c>
      <c r="F280" s="15">
        <f t="shared" si="68"/>
        <v>0</v>
      </c>
      <c r="G280" s="15">
        <f t="shared" si="68"/>
        <v>7590</v>
      </c>
      <c r="H280" s="15">
        <f t="shared" si="68"/>
        <v>6911</v>
      </c>
      <c r="I280" s="15">
        <f t="shared" si="68"/>
        <v>6611</v>
      </c>
      <c r="J280" s="15">
        <f t="shared" si="68"/>
        <v>5676</v>
      </c>
      <c r="K280" s="15">
        <f t="shared" si="68"/>
        <v>5645</v>
      </c>
      <c r="L280" s="15">
        <f t="shared" si="68"/>
        <v>6025</v>
      </c>
      <c r="N280" s="15">
        <f xml:space="preserve"> INDEX( E280:L280, 1, MATCH( Year, $E$2:$L$2, 0 ) ) - G280</f>
        <v>-1565</v>
      </c>
      <c r="O280" s="235">
        <f t="shared" si="66"/>
        <v>-0.20619235836627142</v>
      </c>
      <c r="Q280" s="15">
        <f xml:space="preserve"> INDEX( E280:L280, 1, MATCH( Year, $E$2:$L$2, 0 ) ) - INDEX( E280:L280, 1, MATCH( Last_year, $E$2:$L$2, 0 ) )</f>
        <v>380</v>
      </c>
      <c r="R280" s="235">
        <f xml:space="preserve"> IF( INDEX( $E280:$L280, 1, MATCH( Last_year, $E$2:$L$2, 0 ) ) = 0, "-", Q280 / INDEX( $E280:$L280, 1, MATCH( Last_year, $E$2:$L$2, 0 ) ) )</f>
        <v>6.7316209034543842E-2</v>
      </c>
    </row>
    <row r="281" spans="2:19" outlineLevel="1" x14ac:dyDescent="0.3"/>
    <row r="282" spans="2:19" ht="13.5" outlineLevel="1" x14ac:dyDescent="0.35">
      <c r="B282" s="31" t="s">
        <v>491</v>
      </c>
      <c r="C282" s="31"/>
      <c r="D282" s="28"/>
      <c r="E282" s="28"/>
      <c r="F282" s="28"/>
      <c r="G282" s="28"/>
      <c r="H282" s="28"/>
      <c r="I282" s="28"/>
      <c r="J282" s="28"/>
      <c r="K282" s="28"/>
      <c r="L282" s="28"/>
      <c r="M282" s="28"/>
      <c r="N282" s="28"/>
      <c r="O282" s="57"/>
      <c r="P282" s="28"/>
      <c r="Q282" s="28"/>
      <c r="R282" s="57"/>
      <c r="S282" s="28"/>
    </row>
    <row r="283" spans="2:19" outlineLevel="1" x14ac:dyDescent="0.3"/>
    <row r="284" spans="2:19" outlineLevel="1" x14ac:dyDescent="0.3">
      <c r="C284" s="8" t="s">
        <v>80</v>
      </c>
      <c r="D284" s="16" t="s">
        <v>129</v>
      </c>
      <c r="E284" s="53">
        <f xml:space="preserve"> INPUTS│Outcomes!E209</f>
        <v>0</v>
      </c>
      <c r="F284" s="53">
        <f xml:space="preserve"> INPUTS│Outcomes!F209</f>
        <v>0</v>
      </c>
      <c r="G284" s="53">
        <f xml:space="preserve"> INPUTS│Outcomes!G209</f>
        <v>2712.1959999999995</v>
      </c>
      <c r="H284" s="53">
        <f xml:space="preserve"> INPUTS│Outcomes!H209</f>
        <v>2711.4470000000001</v>
      </c>
      <c r="I284" s="53">
        <f xml:space="preserve"> INPUTS│Outcomes!I209</f>
        <v>2743.415</v>
      </c>
      <c r="J284" s="53">
        <f xml:space="preserve"> INPUTS│Outcomes!J209</f>
        <v>2756.2719999999999</v>
      </c>
      <c r="K284" s="53">
        <f xml:space="preserve"> INPUTS│Outcomes!K209</f>
        <v>2791.4789999999998</v>
      </c>
      <c r="L284" s="53">
        <f xml:space="preserve"> INPUTS│Outcomes!L209</f>
        <v>2811.4470000000001</v>
      </c>
    </row>
    <row r="285" spans="2:19" outlineLevel="1" x14ac:dyDescent="0.3">
      <c r="C285" s="8" t="s">
        <v>82</v>
      </c>
      <c r="D285" s="16" t="s">
        <v>129</v>
      </c>
      <c r="E285" s="53">
        <f xml:space="preserve"> INPUTS│Outcomes!E210</f>
        <v>0</v>
      </c>
      <c r="F285" s="53">
        <f xml:space="preserve"> INPUTS│Outcomes!F210</f>
        <v>0</v>
      </c>
      <c r="G285" s="53">
        <f xml:space="preserve"> INPUTS│Outcomes!G210</f>
        <v>1414.8869999999999</v>
      </c>
      <c r="H285" s="53">
        <f xml:space="preserve"> INPUTS│Outcomes!H210</f>
        <v>1433.2999999999997</v>
      </c>
      <c r="I285" s="53">
        <f xml:space="preserve"> INPUTS│Outcomes!I210</f>
        <v>1438.2340000000002</v>
      </c>
      <c r="J285" s="53">
        <f xml:space="preserve"> INPUTS│Outcomes!J210</f>
        <v>1449.9090000000001</v>
      </c>
      <c r="K285" s="53">
        <f xml:space="preserve"> INPUTS│Outcomes!K210</f>
        <v>1458.152</v>
      </c>
      <c r="L285" s="53">
        <f xml:space="preserve"> INPUTS│Outcomes!L210</f>
        <v>1464.3320000000001</v>
      </c>
    </row>
    <row r="286" spans="2:19" outlineLevel="1" x14ac:dyDescent="0.3">
      <c r="C286" s="8" t="s">
        <v>85</v>
      </c>
      <c r="D286" s="16" t="s">
        <v>129</v>
      </c>
      <c r="E286" s="53">
        <f xml:space="preserve"> INPUTS│Outcomes!E211</f>
        <v>0</v>
      </c>
      <c r="F286" s="53">
        <f xml:space="preserve"> INPUTS│Outcomes!F211</f>
        <v>0</v>
      </c>
      <c r="G286" s="53">
        <f xml:space="preserve"> INPUTS│Outcomes!G211</f>
        <v>0</v>
      </c>
      <c r="H286" s="53">
        <f xml:space="preserve"> INPUTS│Outcomes!H211</f>
        <v>0</v>
      </c>
      <c r="I286" s="53">
        <f xml:space="preserve"> INPUTS│Outcomes!I211</f>
        <v>0</v>
      </c>
      <c r="J286" s="53">
        <f xml:space="preserve"> INPUTS│Outcomes!J211</f>
        <v>0</v>
      </c>
      <c r="K286" s="53">
        <f xml:space="preserve"> INPUTS│Outcomes!K211</f>
        <v>21.071000000000002</v>
      </c>
      <c r="L286" s="53">
        <f xml:space="preserve"> INPUTS│Outcomes!L211</f>
        <v>20.922390054644801</v>
      </c>
    </row>
    <row r="287" spans="2:19" outlineLevel="1" x14ac:dyDescent="0.3">
      <c r="C287" s="8" t="s">
        <v>87</v>
      </c>
      <c r="D287" s="16" t="s">
        <v>129</v>
      </c>
      <c r="E287" s="53">
        <f xml:space="preserve"> INPUTS│Outcomes!E212</f>
        <v>0</v>
      </c>
      <c r="F287" s="53">
        <f xml:space="preserve"> INPUTS│Outcomes!F212</f>
        <v>0</v>
      </c>
      <c r="G287" s="53">
        <f xml:space="preserve"> INPUTS│Outcomes!G212</f>
        <v>1242.576</v>
      </c>
      <c r="H287" s="53">
        <f xml:space="preserve"> INPUTS│Outcomes!H212</f>
        <v>1248.567</v>
      </c>
      <c r="I287" s="53">
        <f xml:space="preserve"> INPUTS│Outcomes!I212</f>
        <v>1255.797</v>
      </c>
      <c r="J287" s="53">
        <f xml:space="preserve"> INPUTS│Outcomes!J212</f>
        <v>1264.011</v>
      </c>
      <c r="K287" s="53">
        <f xml:space="preserve"> INPUTS│Outcomes!K212</f>
        <v>1269.944</v>
      </c>
      <c r="L287" s="53">
        <f xml:space="preserve"> INPUTS│Outcomes!L212</f>
        <v>1283.7239999999999</v>
      </c>
    </row>
    <row r="288" spans="2:19" outlineLevel="1" x14ac:dyDescent="0.3">
      <c r="C288" s="8" t="s">
        <v>89</v>
      </c>
      <c r="D288" s="16" t="s">
        <v>129</v>
      </c>
      <c r="E288" s="53">
        <f xml:space="preserve"> INPUTS│Outcomes!E213</f>
        <v>0</v>
      </c>
      <c r="F288" s="53">
        <f xml:space="preserve"> INPUTS│Outcomes!F213</f>
        <v>0</v>
      </c>
      <c r="G288" s="53">
        <f xml:space="preserve"> INPUTS│Outcomes!G213</f>
        <v>3998.0690000000004</v>
      </c>
      <c r="H288" s="53">
        <f xml:space="preserve"> INPUTS│Outcomes!H213</f>
        <v>4029.3120000000004</v>
      </c>
      <c r="I288" s="53">
        <f xml:space="preserve"> INPUTS│Outcomes!I213</f>
        <v>4078.6640000000002</v>
      </c>
      <c r="J288" s="53">
        <f xml:space="preserve"> INPUTS│Outcomes!J213</f>
        <v>4130.8130000000001</v>
      </c>
      <c r="K288" s="53">
        <f xml:space="preserve"> INPUTS│Outcomes!K213</f>
        <v>4149.9849999999997</v>
      </c>
      <c r="L288" s="53">
        <f xml:space="preserve"> INPUTS│Outcomes!L213</f>
        <v>4210.0188241083097</v>
      </c>
    </row>
    <row r="289" spans="2:19" outlineLevel="1" x14ac:dyDescent="0.3">
      <c r="C289" s="8" t="s">
        <v>91</v>
      </c>
      <c r="D289" s="16" t="s">
        <v>129</v>
      </c>
      <c r="E289" s="53">
        <f xml:space="preserve"> INPUTS│Outcomes!E214</f>
        <v>0</v>
      </c>
      <c r="F289" s="53">
        <f xml:space="preserve"> INPUTS│Outcomes!F214</f>
        <v>0</v>
      </c>
      <c r="G289" s="53">
        <f xml:space="preserve"> INPUTS│Outcomes!G214</f>
        <v>720.61466666666729</v>
      </c>
      <c r="H289" s="53">
        <f xml:space="preserve"> INPUTS│Outcomes!H214</f>
        <v>724.31825000000026</v>
      </c>
      <c r="I289" s="53">
        <f xml:space="preserve"> INPUTS│Outcomes!I214</f>
        <v>733.50299242424319</v>
      </c>
      <c r="J289" s="53">
        <f xml:space="preserve"> INPUTS│Outcomes!J214</f>
        <v>746.38099999999997</v>
      </c>
      <c r="K289" s="53">
        <f xml:space="preserve"> INPUTS│Outcomes!K214</f>
        <v>758.08733333333305</v>
      </c>
      <c r="L289" s="53">
        <f xml:space="preserve"> INPUTS│Outcomes!L214</f>
        <v>765.30600000000004</v>
      </c>
    </row>
    <row r="290" spans="2:19" outlineLevel="1" x14ac:dyDescent="0.3">
      <c r="C290" s="8" t="s">
        <v>94</v>
      </c>
      <c r="D290" s="16" t="s">
        <v>129</v>
      </c>
      <c r="E290" s="53">
        <f xml:space="preserve"> INPUTS│Outcomes!E215</f>
        <v>0</v>
      </c>
      <c r="F290" s="53">
        <f xml:space="preserve"> INPUTS│Outcomes!F215</f>
        <v>0</v>
      </c>
      <c r="G290" s="53">
        <f xml:space="preserve"> INPUTS│Outcomes!G215</f>
        <v>1937.2839999999999</v>
      </c>
      <c r="H290" s="53">
        <f xml:space="preserve"> INPUTS│Outcomes!H215</f>
        <v>1948.0515000000003</v>
      </c>
      <c r="I290" s="53">
        <f xml:space="preserve"> INPUTS│Outcomes!I215</f>
        <v>1962.9179999999999</v>
      </c>
      <c r="J290" s="53">
        <f xml:space="preserve"> INPUTS│Outcomes!J215</f>
        <v>1978.1320000000001</v>
      </c>
      <c r="K290" s="53">
        <f xml:space="preserve"> INPUTS│Outcomes!K215</f>
        <v>1986.644</v>
      </c>
      <c r="L290" s="53">
        <f xml:space="preserve"> INPUTS│Outcomes!L215</f>
        <v>1998.931</v>
      </c>
    </row>
    <row r="291" spans="2:19" outlineLevel="1" x14ac:dyDescent="0.3">
      <c r="C291" s="8" t="s">
        <v>96</v>
      </c>
      <c r="D291" s="16" t="s">
        <v>129</v>
      </c>
      <c r="E291" s="53">
        <f xml:space="preserve"> INPUTS│Outcomes!E216</f>
        <v>0</v>
      </c>
      <c r="F291" s="53">
        <f xml:space="preserve"> INPUTS│Outcomes!F216</f>
        <v>0</v>
      </c>
      <c r="G291" s="53">
        <f xml:space="preserve"> INPUTS│Outcomes!G216</f>
        <v>5689.3329999999996</v>
      </c>
      <c r="H291" s="53">
        <f xml:space="preserve"> INPUTS│Outcomes!H216</f>
        <v>5744.2039999999997</v>
      </c>
      <c r="I291" s="53">
        <f xml:space="preserve"> INPUTS│Outcomes!I216</f>
        <v>5795.3780000000006</v>
      </c>
      <c r="J291" s="53">
        <f xml:space="preserve"> INPUTS│Outcomes!J216</f>
        <v>5838.3990000000003</v>
      </c>
      <c r="K291" s="53">
        <f xml:space="preserve"> INPUTS│Outcomes!K216</f>
        <v>5899.9390000000003</v>
      </c>
      <c r="L291" s="53">
        <f xml:space="preserve"> INPUTS│Outcomes!L216</f>
        <v>5976.4309999999996</v>
      </c>
    </row>
    <row r="292" spans="2:19" outlineLevel="1" x14ac:dyDescent="0.3">
      <c r="C292" s="8" t="s">
        <v>98</v>
      </c>
      <c r="D292" s="16" t="s">
        <v>129</v>
      </c>
      <c r="E292" s="53">
        <f xml:space="preserve"> INPUTS│Outcomes!E217</f>
        <v>0</v>
      </c>
      <c r="F292" s="53">
        <f xml:space="preserve"> INPUTS│Outcomes!F217</f>
        <v>0</v>
      </c>
      <c r="G292" s="53">
        <f xml:space="preserve"> INPUTS│Outcomes!G217</f>
        <v>3246.4740000000006</v>
      </c>
      <c r="H292" s="53">
        <f xml:space="preserve"> INPUTS│Outcomes!H217</f>
        <v>3268.3395</v>
      </c>
      <c r="I292" s="53">
        <f xml:space="preserve"> INPUTS│Outcomes!I217</f>
        <v>3289.6909999999998</v>
      </c>
      <c r="J292" s="53">
        <f xml:space="preserve"> INPUTS│Outcomes!J217</f>
        <v>3315.6660000000002</v>
      </c>
      <c r="K292" s="53">
        <f xml:space="preserve"> INPUTS│Outcomes!K217</f>
        <v>3342.0329999999999</v>
      </c>
      <c r="L292" s="53">
        <f xml:space="preserve"> INPUTS│Outcomes!L217</f>
        <v>3376.857</v>
      </c>
    </row>
    <row r="293" spans="2:19" outlineLevel="1" x14ac:dyDescent="0.3">
      <c r="C293" s="8" t="s">
        <v>100</v>
      </c>
      <c r="D293" s="16" t="s">
        <v>129</v>
      </c>
      <c r="E293" s="53">
        <f xml:space="preserve"> INPUTS│Outcomes!E218</f>
        <v>0</v>
      </c>
      <c r="F293" s="53">
        <f xml:space="preserve"> INPUTS│Outcomes!F218</f>
        <v>0</v>
      </c>
      <c r="G293" s="53">
        <f xml:space="preserve"> INPUTS│Outcomes!G218</f>
        <v>1210.396</v>
      </c>
      <c r="H293" s="53">
        <f xml:space="preserve"> INPUTS│Outcomes!H218</f>
        <v>1220.2959999999998</v>
      </c>
      <c r="I293" s="53">
        <f xml:space="preserve"> INPUTS│Outcomes!I218</f>
        <v>1230.3919999999998</v>
      </c>
      <c r="J293" s="53">
        <f xml:space="preserve"> INPUTS│Outcomes!J218</f>
        <v>1238.193</v>
      </c>
      <c r="K293" s="53">
        <f xml:space="preserve"> INPUTS│Outcomes!K218</f>
        <v>1249.4469999999999</v>
      </c>
      <c r="L293" s="53">
        <f xml:space="preserve"> INPUTS│Outcomes!L218</f>
        <v>1258.5229999999999</v>
      </c>
    </row>
    <row r="294" spans="2:19" outlineLevel="1" x14ac:dyDescent="0.3">
      <c r="C294" s="8" t="s">
        <v>102</v>
      </c>
      <c r="D294" s="16" t="s">
        <v>129</v>
      </c>
      <c r="E294" s="53">
        <f xml:space="preserve"> INPUTS│Outcomes!E219</f>
        <v>0</v>
      </c>
      <c r="F294" s="53">
        <f xml:space="preserve"> INPUTS│Outcomes!F219</f>
        <v>0</v>
      </c>
      <c r="G294" s="53">
        <f xml:space="preserve"> INPUTS│Outcomes!G219</f>
        <v>2244.73</v>
      </c>
      <c r="H294" s="53">
        <f xml:space="preserve"> INPUTS│Outcomes!H219</f>
        <v>2258.3679999999999</v>
      </c>
      <c r="I294" s="53">
        <f xml:space="preserve"> INPUTS│Outcomes!I219</f>
        <v>2271.9151739726062</v>
      </c>
      <c r="J294" s="53">
        <f xml:space="preserve"> INPUTS│Outcomes!J219</f>
        <v>2283.1219493150702</v>
      </c>
      <c r="K294" s="53">
        <f xml:space="preserve"> INPUTS│Outcomes!K219</f>
        <v>2299.1619999999998</v>
      </c>
      <c r="L294" s="53">
        <f xml:space="preserve"> INPUTS│Outcomes!L219</f>
        <v>2312.9789999999998</v>
      </c>
    </row>
    <row r="295" spans="2:19" outlineLevel="1" x14ac:dyDescent="0.3"/>
    <row r="296" spans="2:19" outlineLevel="1" x14ac:dyDescent="0.3">
      <c r="C296" s="2" t="s">
        <v>424</v>
      </c>
      <c r="D296" s="3" t="s">
        <v>129</v>
      </c>
      <c r="E296" s="15">
        <f t="shared" ref="E296:L296" si="69">SUM(E284:E294)</f>
        <v>0</v>
      </c>
      <c r="F296" s="15">
        <f t="shared" si="69"/>
        <v>0</v>
      </c>
      <c r="G296" s="15">
        <f t="shared" si="69"/>
        <v>24416.559666666668</v>
      </c>
      <c r="H296" s="15">
        <f t="shared" si="69"/>
        <v>24586.203249999999</v>
      </c>
      <c r="I296" s="15">
        <f t="shared" si="69"/>
        <v>24799.90716639685</v>
      </c>
      <c r="J296" s="15">
        <f t="shared" si="69"/>
        <v>25000.897949315073</v>
      </c>
      <c r="K296" s="15">
        <f t="shared" si="69"/>
        <v>25225.943333333329</v>
      </c>
      <c r="L296" s="15">
        <f t="shared" si="69"/>
        <v>25479.471214162957</v>
      </c>
    </row>
    <row r="297" spans="2:19" outlineLevel="1" x14ac:dyDescent="0.3"/>
    <row r="298" spans="2:19" ht="13.5" outlineLevel="1" x14ac:dyDescent="0.35">
      <c r="B298" s="31" t="s">
        <v>580</v>
      </c>
      <c r="C298" s="31"/>
      <c r="D298" s="28"/>
      <c r="E298" s="28"/>
      <c r="F298" s="28"/>
      <c r="G298" s="28"/>
      <c r="H298" s="28"/>
      <c r="I298" s="28"/>
      <c r="J298" s="28"/>
      <c r="K298" s="28"/>
      <c r="L298" s="28"/>
      <c r="M298" s="28"/>
      <c r="N298" s="28"/>
      <c r="O298" s="57"/>
      <c r="P298" s="28"/>
      <c r="Q298" s="28"/>
      <c r="R298" s="57"/>
      <c r="S298" s="28"/>
    </row>
    <row r="299" spans="2:19" outlineLevel="1" x14ac:dyDescent="0.3"/>
    <row r="300" spans="2:19" ht="30" customHeight="1" outlineLevel="1" x14ac:dyDescent="0.3">
      <c r="N300" s="51" t="s">
        <v>579</v>
      </c>
      <c r="O300" s="52" t="s">
        <v>576</v>
      </c>
      <c r="Q300" s="51" t="str">
        <f xml:space="preserve"> "Net change (from " &amp; Last_year &amp; ")"</f>
        <v>Net change (from 2018-19)</v>
      </c>
      <c r="R300" s="52" t="s">
        <v>576</v>
      </c>
    </row>
    <row r="301" spans="2:19" outlineLevel="1" x14ac:dyDescent="0.3">
      <c r="C301" s="83" t="s">
        <v>80</v>
      </c>
      <c r="D301" s="114" t="s">
        <v>141</v>
      </c>
      <c r="E301" s="229" t="str">
        <f xml:space="preserve"> IFERROR( E268 / E284 * 10, "-" )</f>
        <v>-</v>
      </c>
      <c r="F301" s="229" t="str">
        <f t="shared" ref="F301:L301" si="70" xml:space="preserve"> IFERROR( F268 / F284 * 10, "-" )</f>
        <v>-</v>
      </c>
      <c r="G301" s="229">
        <f t="shared" si="70"/>
        <v>1.7513483538800299</v>
      </c>
      <c r="H301" s="229">
        <f t="shared" si="70"/>
        <v>1.5157958093962374</v>
      </c>
      <c r="I301" s="229">
        <f t="shared" si="70"/>
        <v>1.5673895491567991</v>
      </c>
      <c r="J301" s="229">
        <f t="shared" si="70"/>
        <v>1.4367232261547482</v>
      </c>
      <c r="K301" s="229">
        <f t="shared" si="70"/>
        <v>1.2251569866726564</v>
      </c>
      <c r="L301" s="229">
        <f t="shared" si="70"/>
        <v>1.052838627226478</v>
      </c>
      <c r="N301" s="77">
        <f t="shared" ref="N301:N311" si="71" xml:space="preserve"> IFERROR( INDEX( E301:L301, 1, MATCH( Year, $E$2:$L$2, 0 ) ) - G301, "-" )</f>
        <v>-0.69850972665355182</v>
      </c>
      <c r="O301" s="58">
        <f xml:space="preserve"> IF( G301 = "-", "-", N301 / G301 )</f>
        <v>-0.39884111296649599</v>
      </c>
      <c r="Q301" s="77">
        <f t="shared" ref="Q301:Q311" si="72" xml:space="preserve"> INDEX( E301:L301, 1, MATCH( Year, $E$2:$L$2, 0 ) ) - INDEX( E301:L301, 1, MATCH( Last_year, $E$2:$L$2, 0 ) )</f>
        <v>-0.17231835944617835</v>
      </c>
      <c r="R301" s="58">
        <f t="shared" ref="R301:R311" si="73" xml:space="preserve"> IF( INDEX( $E301:$L301, 1, MATCH( Last_year, $E$2:$L$2, 0 ) ) = 0, "-", Q301 / INDEX( $E301:$L301, 1, MATCH( Last_year, $E$2:$L$2, 0 ) ) )</f>
        <v>-0.14065002389136214</v>
      </c>
    </row>
    <row r="302" spans="2:19" outlineLevel="1" x14ac:dyDescent="0.3">
      <c r="C302" s="83" t="s">
        <v>82</v>
      </c>
      <c r="D302" s="114" t="s">
        <v>141</v>
      </c>
      <c r="E302" s="229" t="str">
        <f t="shared" ref="E302:L311" si="74" xml:space="preserve"> IFERROR( E269 / E285 * 10, "-" )</f>
        <v>-</v>
      </c>
      <c r="F302" s="229" t="str">
        <f t="shared" si="74"/>
        <v>-</v>
      </c>
      <c r="G302" s="229">
        <f t="shared" si="74"/>
        <v>1.8729410899951728</v>
      </c>
      <c r="H302" s="229">
        <f t="shared" si="74"/>
        <v>1.5558501360496759</v>
      </c>
      <c r="I302" s="229">
        <f t="shared" si="74"/>
        <v>1.6826191009251623</v>
      </c>
      <c r="J302" s="229">
        <f t="shared" si="74"/>
        <v>1.5242335898321893</v>
      </c>
      <c r="K302" s="229">
        <f t="shared" si="74"/>
        <v>1.5156170275801151</v>
      </c>
      <c r="L302" s="229">
        <f t="shared" si="74"/>
        <v>1.4750753244482808</v>
      </c>
      <c r="N302" s="77">
        <f t="shared" si="71"/>
        <v>-0.39786576554689201</v>
      </c>
      <c r="O302" s="58">
        <f t="shared" ref="O302:O311" si="75" xml:space="preserve"> IF( G302 = "-", "-", N302 / G302 )</f>
        <v>-0.21242833940277184</v>
      </c>
      <c r="Q302" s="77">
        <f t="shared" si="72"/>
        <v>-4.054170313183425E-2</v>
      </c>
      <c r="R302" s="58">
        <f t="shared" si="73"/>
        <v>-2.6749305658411934E-2</v>
      </c>
    </row>
    <row r="303" spans="2:19" outlineLevel="1" x14ac:dyDescent="0.3">
      <c r="C303" s="83" t="s">
        <v>85</v>
      </c>
      <c r="D303" s="114" t="s">
        <v>141</v>
      </c>
      <c r="E303" s="229" t="str">
        <f t="shared" si="74"/>
        <v>-</v>
      </c>
      <c r="F303" s="229" t="str">
        <f t="shared" si="74"/>
        <v>-</v>
      </c>
      <c r="G303" s="229" t="str">
        <f t="shared" si="74"/>
        <v>-</v>
      </c>
      <c r="H303" s="229" t="str">
        <f t="shared" si="74"/>
        <v>-</v>
      </c>
      <c r="I303" s="229" t="str">
        <f t="shared" si="74"/>
        <v>-</v>
      </c>
      <c r="J303" s="229" t="str">
        <f t="shared" si="74"/>
        <v>-</v>
      </c>
      <c r="K303" s="229">
        <f t="shared" si="74"/>
        <v>1.8983436951260024</v>
      </c>
      <c r="L303" s="229">
        <f t="shared" si="74"/>
        <v>4.7795686696797741</v>
      </c>
      <c r="N303" s="77" t="str">
        <f t="shared" si="71"/>
        <v>-</v>
      </c>
      <c r="O303" s="58" t="str">
        <f t="shared" si="75"/>
        <v>-</v>
      </c>
      <c r="Q303" s="77">
        <f t="shared" si="72"/>
        <v>2.8812249745537715</v>
      </c>
      <c r="R303" s="58">
        <f t="shared" si="73"/>
        <v>1.517757285970563</v>
      </c>
    </row>
    <row r="304" spans="2:19" outlineLevel="1" x14ac:dyDescent="0.3">
      <c r="C304" s="83" t="s">
        <v>87</v>
      </c>
      <c r="D304" s="114" t="s">
        <v>141</v>
      </c>
      <c r="E304" s="229" t="str">
        <f t="shared" si="74"/>
        <v>-</v>
      </c>
      <c r="F304" s="229" t="str">
        <f t="shared" si="74"/>
        <v>-</v>
      </c>
      <c r="G304" s="229">
        <f t="shared" si="74"/>
        <v>3.7261302326779204</v>
      </c>
      <c r="H304" s="229">
        <f t="shared" si="74"/>
        <v>3.1155716913870064</v>
      </c>
      <c r="I304" s="229">
        <f t="shared" si="74"/>
        <v>2.8109638739382241</v>
      </c>
      <c r="J304" s="229">
        <f t="shared" si="74"/>
        <v>2.4525103025211017</v>
      </c>
      <c r="K304" s="229">
        <f t="shared" si="74"/>
        <v>3.1654939115425562</v>
      </c>
      <c r="L304" s="229">
        <f t="shared" si="74"/>
        <v>2.9912971947240994</v>
      </c>
      <c r="N304" s="77">
        <f t="shared" si="71"/>
        <v>-0.73483303795382104</v>
      </c>
      <c r="O304" s="58">
        <f t="shared" si="75"/>
        <v>-0.19721077688304692</v>
      </c>
      <c r="Q304" s="77">
        <f t="shared" si="72"/>
        <v>-0.17419671681845683</v>
      </c>
      <c r="R304" s="58">
        <f t="shared" si="73"/>
        <v>-5.502986948838267E-2</v>
      </c>
    </row>
    <row r="305" spans="2:19" outlineLevel="1" x14ac:dyDescent="0.3">
      <c r="C305" s="83" t="s">
        <v>89</v>
      </c>
      <c r="D305" s="114" t="s">
        <v>141</v>
      </c>
      <c r="E305" s="229" t="str">
        <f t="shared" si="74"/>
        <v>-</v>
      </c>
      <c r="F305" s="229" t="str">
        <f t="shared" si="74"/>
        <v>-</v>
      </c>
      <c r="G305" s="229">
        <f t="shared" si="74"/>
        <v>2.921410310827552</v>
      </c>
      <c r="H305" s="229">
        <f t="shared" si="74"/>
        <v>2.0077869373232948</v>
      </c>
      <c r="I305" s="229">
        <f t="shared" si="74"/>
        <v>2.20905669111258</v>
      </c>
      <c r="J305" s="229">
        <f t="shared" si="74"/>
        <v>1.6025900954606274</v>
      </c>
      <c r="K305" s="229">
        <f t="shared" si="74"/>
        <v>1.7469942662443361</v>
      </c>
      <c r="L305" s="229">
        <f t="shared" si="74"/>
        <v>2.1995151059594815</v>
      </c>
      <c r="N305" s="77">
        <f t="shared" si="71"/>
        <v>-0.72189520486807046</v>
      </c>
      <c r="O305" s="58">
        <f t="shared" si="75"/>
        <v>-0.24710503765682207</v>
      </c>
      <c r="Q305" s="77">
        <f t="shared" si="72"/>
        <v>0.45252083971514545</v>
      </c>
      <c r="R305" s="58">
        <f t="shared" si="73"/>
        <v>0.25902823406969072</v>
      </c>
    </row>
    <row r="306" spans="2:19" outlineLevel="1" x14ac:dyDescent="0.3">
      <c r="C306" s="83" t="s">
        <v>91</v>
      </c>
      <c r="D306" s="114" t="s">
        <v>141</v>
      </c>
      <c r="E306" s="229" t="str">
        <f t="shared" si="74"/>
        <v>-</v>
      </c>
      <c r="F306" s="229" t="str">
        <f t="shared" si="74"/>
        <v>-</v>
      </c>
      <c r="G306" s="229">
        <f t="shared" si="74"/>
        <v>2.525621645225093</v>
      </c>
      <c r="H306" s="229">
        <f t="shared" si="74"/>
        <v>2.6093502407263647</v>
      </c>
      <c r="I306" s="229">
        <f t="shared" si="74"/>
        <v>2.2494795754639179</v>
      </c>
      <c r="J306" s="229">
        <f t="shared" si="74"/>
        <v>1.8891156125356889</v>
      </c>
      <c r="K306" s="229">
        <f t="shared" si="74"/>
        <v>1.2267715856836201</v>
      </c>
      <c r="L306" s="229">
        <f t="shared" si="74"/>
        <v>2.0906670011733866</v>
      </c>
      <c r="N306" s="77">
        <f t="shared" si="71"/>
        <v>-0.43495464405170647</v>
      </c>
      <c r="O306" s="58">
        <f t="shared" si="75"/>
        <v>-0.17221686584529633</v>
      </c>
      <c r="Q306" s="77">
        <f t="shared" si="72"/>
        <v>0.86389541548976645</v>
      </c>
      <c r="R306" s="58">
        <f t="shared" si="73"/>
        <v>0.70420233527691267</v>
      </c>
    </row>
    <row r="307" spans="2:19" outlineLevel="1" x14ac:dyDescent="0.3">
      <c r="C307" s="83" t="s">
        <v>94</v>
      </c>
      <c r="D307" s="114" t="s">
        <v>141</v>
      </c>
      <c r="E307" s="229" t="str">
        <f t="shared" si="74"/>
        <v>-</v>
      </c>
      <c r="F307" s="229" t="str">
        <f t="shared" si="74"/>
        <v>-</v>
      </c>
      <c r="G307" s="229">
        <f t="shared" si="74"/>
        <v>2.5138286384443376</v>
      </c>
      <c r="H307" s="229">
        <f t="shared" si="74"/>
        <v>2.525600580888133</v>
      </c>
      <c r="I307" s="229">
        <f t="shared" si="74"/>
        <v>2.2823164289083904</v>
      </c>
      <c r="J307" s="229">
        <f t="shared" si="74"/>
        <v>2.0271650223544233</v>
      </c>
      <c r="K307" s="229">
        <f t="shared" si="74"/>
        <v>1.9580760317399595</v>
      </c>
      <c r="L307" s="229">
        <f t="shared" si="74"/>
        <v>2.26621128993447</v>
      </c>
      <c r="N307" s="77">
        <f t="shared" si="71"/>
        <v>-0.24761734850986761</v>
      </c>
      <c r="O307" s="58">
        <f t="shared" si="75"/>
        <v>-9.8502079546322452E-2</v>
      </c>
      <c r="Q307" s="77">
        <f t="shared" si="72"/>
        <v>0.30813525819451049</v>
      </c>
      <c r="R307" s="58">
        <f t="shared" si="73"/>
        <v>0.15736633981505785</v>
      </c>
    </row>
    <row r="308" spans="2:19" outlineLevel="1" x14ac:dyDescent="0.3">
      <c r="C308" s="83" t="s">
        <v>96</v>
      </c>
      <c r="D308" s="114" t="s">
        <v>141</v>
      </c>
      <c r="E308" s="229" t="str">
        <f t="shared" si="74"/>
        <v>-</v>
      </c>
      <c r="F308" s="229" t="str">
        <f t="shared" si="74"/>
        <v>-</v>
      </c>
      <c r="G308" s="229">
        <f t="shared" si="74"/>
        <v>2.9089525960248768</v>
      </c>
      <c r="H308" s="229">
        <f t="shared" si="74"/>
        <v>2.4424620016977112</v>
      </c>
      <c r="I308" s="229">
        <f t="shared" si="74"/>
        <v>2.09477276546931</v>
      </c>
      <c r="J308" s="229">
        <f t="shared" si="74"/>
        <v>1.818991816078346</v>
      </c>
      <c r="K308" s="229">
        <f t="shared" si="74"/>
        <v>1.7491706270183471</v>
      </c>
      <c r="L308" s="229">
        <f t="shared" si="74"/>
        <v>1.7702873169622473</v>
      </c>
      <c r="N308" s="77">
        <f t="shared" si="71"/>
        <v>-1.1386652790626295</v>
      </c>
      <c r="O308" s="58">
        <f t="shared" si="75"/>
        <v>-0.39143480049095025</v>
      </c>
      <c r="Q308" s="77">
        <f t="shared" si="72"/>
        <v>2.1116689943900147E-2</v>
      </c>
      <c r="R308" s="58">
        <f t="shared" si="73"/>
        <v>1.2072401409973284E-2</v>
      </c>
    </row>
    <row r="309" spans="2:19" outlineLevel="1" x14ac:dyDescent="0.3">
      <c r="C309" s="83" t="s">
        <v>98</v>
      </c>
      <c r="D309" s="114" t="s">
        <v>141</v>
      </c>
      <c r="E309" s="229" t="str">
        <f t="shared" si="74"/>
        <v>-</v>
      </c>
      <c r="F309" s="229" t="str">
        <f t="shared" si="74"/>
        <v>-</v>
      </c>
      <c r="G309" s="229">
        <f t="shared" si="74"/>
        <v>2.4888540613601089</v>
      </c>
      <c r="H309" s="229">
        <f t="shared" si="74"/>
        <v>3.0168224567857775</v>
      </c>
      <c r="I309" s="229">
        <f t="shared" si="74"/>
        <v>2.8604510271633417</v>
      </c>
      <c r="J309" s="229">
        <f t="shared" si="74"/>
        <v>1.9603904615241703</v>
      </c>
      <c r="K309" s="229">
        <f t="shared" si="74"/>
        <v>1.6935799257517805</v>
      </c>
      <c r="L309" s="229">
        <f t="shared" si="74"/>
        <v>2.2920721842826035</v>
      </c>
      <c r="N309" s="77">
        <f t="shared" si="71"/>
        <v>-0.19678187707750538</v>
      </c>
      <c r="O309" s="58">
        <f t="shared" si="75"/>
        <v>-7.9065253416252146E-2</v>
      </c>
      <c r="Q309" s="77">
        <f t="shared" si="72"/>
        <v>0.598492258530823</v>
      </c>
      <c r="R309" s="58">
        <f t="shared" si="73"/>
        <v>0.35338884774815227</v>
      </c>
    </row>
    <row r="310" spans="2:19" outlineLevel="1" x14ac:dyDescent="0.3">
      <c r="C310" s="83" t="s">
        <v>100</v>
      </c>
      <c r="D310" s="114" t="s">
        <v>141</v>
      </c>
      <c r="E310" s="229" t="str">
        <f t="shared" si="74"/>
        <v>-</v>
      </c>
      <c r="F310" s="229" t="str">
        <f t="shared" si="74"/>
        <v>-</v>
      </c>
      <c r="G310" s="229">
        <f t="shared" si="74"/>
        <v>1.1566462546141925</v>
      </c>
      <c r="H310" s="229">
        <f t="shared" si="74"/>
        <v>1.3685204245527316</v>
      </c>
      <c r="I310" s="229">
        <f t="shared" si="74"/>
        <v>1.2028686792501904</v>
      </c>
      <c r="J310" s="229">
        <f t="shared" si="74"/>
        <v>1.2195190895118937</v>
      </c>
      <c r="K310" s="229">
        <f t="shared" si="74"/>
        <v>1.4326337971918779</v>
      </c>
      <c r="L310" s="229">
        <f t="shared" si="74"/>
        <v>1.1600900420572371</v>
      </c>
      <c r="N310" s="77">
        <f t="shared" si="71"/>
        <v>3.4437874430446325E-3</v>
      </c>
      <c r="O310" s="58">
        <f t="shared" si="75"/>
        <v>2.9773903899367503E-3</v>
      </c>
      <c r="Q310" s="77">
        <f t="shared" si="72"/>
        <v>-0.2725437551346408</v>
      </c>
      <c r="R310" s="58">
        <f t="shared" si="73"/>
        <v>-0.19023965207916843</v>
      </c>
    </row>
    <row r="311" spans="2:19" outlineLevel="1" x14ac:dyDescent="0.3">
      <c r="C311" s="83" t="s">
        <v>102</v>
      </c>
      <c r="D311" s="114" t="s">
        <v>141</v>
      </c>
      <c r="E311" s="229" t="str">
        <f t="shared" si="74"/>
        <v>-</v>
      </c>
      <c r="F311" s="229" t="str">
        <f t="shared" si="74"/>
        <v>-</v>
      </c>
      <c r="G311" s="229">
        <f t="shared" si="74"/>
        <v>8.6736489466439171</v>
      </c>
      <c r="H311" s="229">
        <f t="shared" si="74"/>
        <v>8.1563323603593396</v>
      </c>
      <c r="I311" s="229">
        <f t="shared" si="74"/>
        <v>7.7863822569870731</v>
      </c>
      <c r="J311" s="229">
        <f t="shared" si="74"/>
        <v>7.367105381754115</v>
      </c>
      <c r="K311" s="229">
        <f t="shared" si="74"/>
        <v>7.3592030487629847</v>
      </c>
      <c r="L311" s="229">
        <f t="shared" si="74"/>
        <v>6.9261329220887866</v>
      </c>
      <c r="N311" s="77">
        <f t="shared" si="71"/>
        <v>-1.7475160245551304</v>
      </c>
      <c r="O311" s="58">
        <f t="shared" si="75"/>
        <v>-0.20147414719053097</v>
      </c>
      <c r="Q311" s="77">
        <f t="shared" si="72"/>
        <v>-0.43307012667419809</v>
      </c>
      <c r="R311" s="58">
        <f t="shared" si="73"/>
        <v>-5.884742190215736E-2</v>
      </c>
    </row>
    <row r="312" spans="2:19" outlineLevel="1" x14ac:dyDescent="0.3"/>
    <row r="313" spans="2:19" outlineLevel="1" x14ac:dyDescent="0.3">
      <c r="C313" s="2" t="s">
        <v>424</v>
      </c>
      <c r="D313" s="3" t="s">
        <v>141</v>
      </c>
      <c r="E313" s="14">
        <f t="shared" ref="E313:L313" si="76" xml:space="preserve"> IFERROR( E280 / E296 * 10, 0 )</f>
        <v>0</v>
      </c>
      <c r="F313" s="14">
        <f t="shared" si="76"/>
        <v>0</v>
      </c>
      <c r="G313" s="14">
        <f t="shared" si="76"/>
        <v>3.1085460456420568</v>
      </c>
      <c r="H313" s="14">
        <f t="shared" si="76"/>
        <v>2.8109260831071996</v>
      </c>
      <c r="I313" s="14">
        <f t="shared" si="76"/>
        <v>2.6657357850749186</v>
      </c>
      <c r="J313" s="14">
        <f t="shared" si="76"/>
        <v>2.2703184547639417</v>
      </c>
      <c r="K313" s="14">
        <f t="shared" si="76"/>
        <v>2.2377755810387274</v>
      </c>
      <c r="L313" s="14">
        <f t="shared" si="76"/>
        <v>2.364648759528007</v>
      </c>
      <c r="N313" s="14">
        <f xml:space="preserve"> INDEX( E313:L313, 1, MATCH( Year, $E$2:$L$2, 0 ) ) - G313</f>
        <v>-0.74389728611404982</v>
      </c>
      <c r="O313" s="58">
        <f xml:space="preserve"> IF( G313 = 0, "-", N313 / G313 )</f>
        <v>-0.23930714719730042</v>
      </c>
      <c r="Q313" s="14">
        <f xml:space="preserve"> INDEX( E313:L313, 1, MATCH( Year, $E$2:$L$2, 0 ) ) - INDEX( E313:L313, 1, MATCH( Last_year, $E$2:$L$2, 0 ) )</f>
        <v>0.12687317848927959</v>
      </c>
      <c r="R313" s="58">
        <f xml:space="preserve"> IF( INDEX( $E313:$L313, 1, MATCH( Last_year, $E$2:$L$2, 0 ) ) = 0, "-", Q313 / INDEX( $E313:$L313, 1, MATCH( Last_year, $E$2:$L$2, 0 ) ) )</f>
        <v>5.6696113571132897E-2</v>
      </c>
    </row>
    <row r="315" spans="2:19" ht="13.5" x14ac:dyDescent="0.35">
      <c r="B315" s="9" t="s">
        <v>167</v>
      </c>
      <c r="C315" s="9"/>
      <c r="D315" s="10"/>
      <c r="E315" s="10"/>
      <c r="F315" s="10"/>
      <c r="G315" s="10"/>
      <c r="H315" s="10"/>
      <c r="I315" s="10"/>
      <c r="J315" s="10"/>
      <c r="K315" s="10"/>
      <c r="L315" s="10"/>
      <c r="M315" s="10"/>
      <c r="N315" s="10"/>
      <c r="O315" s="60"/>
      <c r="P315" s="10"/>
      <c r="Q315" s="10"/>
      <c r="R315" s="60"/>
      <c r="S315" s="10"/>
    </row>
    <row r="316" spans="2:19" outlineLevel="1" x14ac:dyDescent="0.3">
      <c r="E316" s="11"/>
      <c r="F316" s="11"/>
      <c r="G316" s="11"/>
      <c r="H316" s="11"/>
      <c r="I316" s="11"/>
      <c r="J316" s="11"/>
      <c r="K316" s="11"/>
      <c r="L316" s="11"/>
      <c r="M316" s="11"/>
      <c r="N316" s="11"/>
      <c r="O316" s="24"/>
      <c r="P316" s="11"/>
      <c r="Q316" s="11"/>
      <c r="R316" s="24"/>
      <c r="S316" s="11"/>
    </row>
    <row r="317" spans="2:19" ht="13.5" outlineLevel="1" x14ac:dyDescent="0.35">
      <c r="B317" s="31" t="s">
        <v>382</v>
      </c>
      <c r="C317" s="31"/>
      <c r="D317" s="28"/>
      <c r="E317" s="28"/>
      <c r="F317" s="28"/>
      <c r="G317" s="28"/>
      <c r="H317" s="28"/>
      <c r="I317" s="28"/>
      <c r="J317" s="28"/>
      <c r="K317" s="28"/>
      <c r="L317" s="28"/>
      <c r="M317" s="28"/>
      <c r="N317" s="28"/>
      <c r="O317" s="57"/>
      <c r="P317" s="28"/>
      <c r="Q317" s="28"/>
      <c r="R317" s="57"/>
      <c r="S317" s="28"/>
    </row>
    <row r="318" spans="2:19" outlineLevel="1" x14ac:dyDescent="0.3"/>
    <row r="319" spans="2:19" ht="30" customHeight="1" outlineLevel="1" x14ac:dyDescent="0.3">
      <c r="N319" s="51" t="s">
        <v>574</v>
      </c>
      <c r="O319" s="52" t="s">
        <v>576</v>
      </c>
      <c r="Q319" s="51" t="str">
        <f xml:space="preserve"> "Net change (from " &amp; Last_year &amp; ")"</f>
        <v>Net change (from 2018-19)</v>
      </c>
      <c r="R319" s="52" t="s">
        <v>576</v>
      </c>
    </row>
    <row r="320" spans="2:19" outlineLevel="1" x14ac:dyDescent="0.3">
      <c r="C320" s="8" t="s">
        <v>80</v>
      </c>
      <c r="D320" s="16" t="s">
        <v>141</v>
      </c>
      <c r="E320" s="53">
        <f xml:space="preserve"> INPUTS│Outcomes!E227</f>
        <v>101</v>
      </c>
      <c r="F320" s="53">
        <f xml:space="preserve"> INPUTS│Outcomes!F227</f>
        <v>89</v>
      </c>
      <c r="G320" s="53">
        <f xml:space="preserve"> INPUTS│Outcomes!G227</f>
        <v>90</v>
      </c>
      <c r="H320" s="53">
        <f xml:space="preserve"> INPUTS│Outcomes!H227</f>
        <v>35</v>
      </c>
      <c r="I320" s="53">
        <f xml:space="preserve"> INPUTS│Outcomes!I227</f>
        <v>32</v>
      </c>
      <c r="J320" s="53">
        <f xml:space="preserve"> INPUTS│Outcomes!J227</f>
        <v>30</v>
      </c>
      <c r="K320" s="53">
        <f xml:space="preserve"> INPUTS│Outcomes!K227</f>
        <v>25</v>
      </c>
      <c r="L320" s="53">
        <f xml:space="preserve"> INPUTS│Outcomes!L227</f>
        <v>35</v>
      </c>
      <c r="N320" s="88">
        <f t="shared" ref="N320:N330" si="77" xml:space="preserve"> IFERROR( INDEX( E320:L320, 1, MATCH( Year, $E$2:$L$2, 0 ) ) - E320, "-" )</f>
        <v>-66</v>
      </c>
      <c r="O320" s="58">
        <f xml:space="preserve"> IFERROR( IF( E320 = 0, "-", N320 / E320 ), "-" )</f>
        <v>-0.65346534653465349</v>
      </c>
      <c r="Q320" s="88">
        <f xml:space="preserve"> INDEX( E320:L320, 1, MATCH( Year, $E$2:$L$2, 0 ) ) - INDEX( E320:L320, 1, MATCH( Last_year, $E$2:$L$2, 0 ) )</f>
        <v>10</v>
      </c>
      <c r="R320" s="58">
        <f t="shared" ref="R320:R330" si="78" xml:space="preserve"> IF( INDEX( $E320:$L320, 1, MATCH( Last_year, $E$2:$L$2, 0 ) ) = 0, "-", Q320 / INDEX( $E320:$L320, 1, MATCH( Last_year, $E$2:$L$2, 0 ) ) )</f>
        <v>0.4</v>
      </c>
    </row>
    <row r="321" spans="2:19" outlineLevel="1" x14ac:dyDescent="0.3">
      <c r="C321" s="8" t="s">
        <v>82</v>
      </c>
      <c r="D321" s="16" t="s">
        <v>141</v>
      </c>
      <c r="E321" s="53">
        <f xml:space="preserve"> INPUTS│Outcomes!E228</f>
        <v>110</v>
      </c>
      <c r="F321" s="53">
        <f xml:space="preserve"> INPUTS│Outcomes!F228</f>
        <v>66</v>
      </c>
      <c r="G321" s="53">
        <f xml:space="preserve"> INPUTS│Outcomes!G228</f>
        <v>59</v>
      </c>
      <c r="H321" s="53">
        <f xml:space="preserve"> INPUTS│Outcomes!H228</f>
        <v>57.41</v>
      </c>
      <c r="I321" s="53">
        <f xml:space="preserve"> INPUTS│Outcomes!I228</f>
        <v>28.85</v>
      </c>
      <c r="J321" s="53">
        <f xml:space="preserve"> INPUTS│Outcomes!J228</f>
        <v>27.69</v>
      </c>
      <c r="K321" s="53">
        <f xml:space="preserve"> INPUTS│Outcomes!K228</f>
        <v>27.58</v>
      </c>
      <c r="L321" s="53">
        <f xml:space="preserve"> INPUTS│Outcomes!L228</f>
        <v>25.24</v>
      </c>
      <c r="N321" s="88">
        <f t="shared" si="77"/>
        <v>-84.76</v>
      </c>
      <c r="O321" s="58">
        <f t="shared" ref="O321:O330" si="79" xml:space="preserve"> IFERROR( IF( E321 = 0, "-", N321 / E321 ), "-" )</f>
        <v>-0.77054545454545464</v>
      </c>
      <c r="Q321" s="88">
        <f t="shared" ref="Q321:Q330" si="80" xml:space="preserve"> INDEX( E321:L321, 1, MATCH( Year, $E$2:$L$2, 0 ) ) - INDEX( E321:L321, 1, MATCH( Last_year, $E$2:$L$2, 0 ) )</f>
        <v>-2.34</v>
      </c>
      <c r="R321" s="58">
        <f t="shared" si="78"/>
        <v>-8.4844089920232055E-2</v>
      </c>
    </row>
    <row r="322" spans="2:19" outlineLevel="1" x14ac:dyDescent="0.3">
      <c r="C322" s="8" t="s">
        <v>85</v>
      </c>
      <c r="D322" s="16" t="s">
        <v>141</v>
      </c>
      <c r="E322" s="101" t="str">
        <f xml:space="preserve"> INPUTS│Outcomes!E229</f>
        <v>-</v>
      </c>
      <c r="F322" s="101" t="str">
        <f xml:space="preserve"> INPUTS│Outcomes!F229</f>
        <v>-</v>
      </c>
      <c r="G322" s="101" t="str">
        <f xml:space="preserve"> INPUTS│Outcomes!G229</f>
        <v>-</v>
      </c>
      <c r="H322" s="101" t="str">
        <f xml:space="preserve"> INPUTS│Outcomes!H229</f>
        <v>-</v>
      </c>
      <c r="I322" s="101" t="str">
        <f xml:space="preserve"> INPUTS│Outcomes!I229</f>
        <v>-</v>
      </c>
      <c r="J322" s="101" t="str">
        <f xml:space="preserve"> INPUTS│Outcomes!J229</f>
        <v>-</v>
      </c>
      <c r="K322" s="101" t="str">
        <f xml:space="preserve"> INPUTS│Outcomes!K229</f>
        <v>-</v>
      </c>
      <c r="L322" s="101">
        <f xml:space="preserve"> INPUTS│Outcomes!L229</f>
        <v>67.8</v>
      </c>
      <c r="N322" s="88" t="str">
        <f t="shared" si="77"/>
        <v>-</v>
      </c>
      <c r="O322" s="58" t="str">
        <f t="shared" si="79"/>
        <v>-</v>
      </c>
      <c r="Q322" s="88" t="e">
        <f t="shared" si="80"/>
        <v>#VALUE!</v>
      </c>
      <c r="R322" s="58" t="e">
        <f t="shared" si="78"/>
        <v>#VALUE!</v>
      </c>
    </row>
    <row r="323" spans="2:19" outlineLevel="1" x14ac:dyDescent="0.3">
      <c r="C323" s="8" t="s">
        <v>87</v>
      </c>
      <c r="D323" s="16" t="s">
        <v>141</v>
      </c>
      <c r="E323" s="53">
        <f xml:space="preserve"> INPUTS│Outcomes!E230</f>
        <v>120</v>
      </c>
      <c r="F323" s="53">
        <f xml:space="preserve"> INPUTS│Outcomes!F230</f>
        <v>79</v>
      </c>
      <c r="G323" s="53">
        <f xml:space="preserve"> INPUTS│Outcomes!G230</f>
        <v>54</v>
      </c>
      <c r="H323" s="53">
        <f xml:space="preserve"> INPUTS│Outcomes!H230</f>
        <v>97</v>
      </c>
      <c r="I323" s="53">
        <f xml:space="preserve"> INPUTS│Outcomes!I230</f>
        <v>38</v>
      </c>
      <c r="J323" s="53">
        <f xml:space="preserve"> INPUTS│Outcomes!J230</f>
        <v>17</v>
      </c>
      <c r="K323" s="53">
        <f xml:space="preserve"> INPUTS│Outcomes!K230</f>
        <v>12</v>
      </c>
      <c r="L323" s="53">
        <f xml:space="preserve"> INPUTS│Outcomes!L230</f>
        <v>15</v>
      </c>
      <c r="N323" s="88">
        <f t="shared" si="77"/>
        <v>-105</v>
      </c>
      <c r="O323" s="58">
        <f t="shared" si="79"/>
        <v>-0.875</v>
      </c>
      <c r="Q323" s="88">
        <f t="shared" si="80"/>
        <v>3</v>
      </c>
      <c r="R323" s="58">
        <f t="shared" si="78"/>
        <v>0.25</v>
      </c>
    </row>
    <row r="324" spans="2:19" outlineLevel="1" x14ac:dyDescent="0.3">
      <c r="C324" s="8" t="s">
        <v>89</v>
      </c>
      <c r="D324" s="16" t="s">
        <v>141</v>
      </c>
      <c r="E324" s="53">
        <f xml:space="preserve"> INPUTS│Outcomes!E231</f>
        <v>67</v>
      </c>
      <c r="F324" s="53">
        <f xml:space="preserve"> INPUTS│Outcomes!F231</f>
        <v>79</v>
      </c>
      <c r="G324" s="53">
        <f xml:space="preserve"> INPUTS│Outcomes!G231</f>
        <v>65</v>
      </c>
      <c r="H324" s="53">
        <f xml:space="preserve"> INPUTS│Outcomes!H231</f>
        <v>47</v>
      </c>
      <c r="I324" s="53">
        <f xml:space="preserve"> INPUTS│Outcomes!I231</f>
        <v>30</v>
      </c>
      <c r="J324" s="53">
        <f xml:space="preserve"> INPUTS│Outcomes!J231</f>
        <v>30</v>
      </c>
      <c r="K324" s="53">
        <f xml:space="preserve"> INPUTS│Outcomes!K231</f>
        <v>31</v>
      </c>
      <c r="L324" s="53">
        <f xml:space="preserve"> INPUTS│Outcomes!L231</f>
        <v>26</v>
      </c>
      <c r="N324" s="88">
        <f t="shared" si="77"/>
        <v>-41</v>
      </c>
      <c r="O324" s="58">
        <f t="shared" si="79"/>
        <v>-0.61194029850746268</v>
      </c>
      <c r="Q324" s="88">
        <f t="shared" si="80"/>
        <v>-5</v>
      </c>
      <c r="R324" s="58">
        <f t="shared" si="78"/>
        <v>-0.16129032258064516</v>
      </c>
    </row>
    <row r="325" spans="2:19" outlineLevel="1" x14ac:dyDescent="0.3">
      <c r="C325" s="8" t="s">
        <v>91</v>
      </c>
      <c r="D325" s="16" t="s">
        <v>141</v>
      </c>
      <c r="E325" s="53">
        <f xml:space="preserve"> INPUTS│Outcomes!E232</f>
        <v>223</v>
      </c>
      <c r="F325" s="53">
        <f xml:space="preserve"> INPUTS│Outcomes!F232</f>
        <v>267</v>
      </c>
      <c r="G325" s="53">
        <f xml:space="preserve"> INPUTS│Outcomes!G232</f>
        <v>169</v>
      </c>
      <c r="H325" s="53">
        <f xml:space="preserve"> INPUTS│Outcomes!H232</f>
        <v>171</v>
      </c>
      <c r="I325" s="53">
        <f xml:space="preserve"> INPUTS│Outcomes!I232</f>
        <v>115</v>
      </c>
      <c r="J325" s="53">
        <f xml:space="preserve"> INPUTS│Outcomes!J232</f>
        <v>109</v>
      </c>
      <c r="K325" s="53">
        <f xml:space="preserve"> INPUTS│Outcomes!K232</f>
        <v>98</v>
      </c>
      <c r="L325" s="53">
        <f xml:space="preserve"> INPUTS│Outcomes!L232</f>
        <v>105</v>
      </c>
      <c r="N325" s="88">
        <f t="shared" si="77"/>
        <v>-118</v>
      </c>
      <c r="O325" s="58">
        <f t="shared" si="79"/>
        <v>-0.52914798206278024</v>
      </c>
      <c r="Q325" s="88">
        <f t="shared" si="80"/>
        <v>7</v>
      </c>
      <c r="R325" s="58">
        <f t="shared" si="78"/>
        <v>7.1428571428571425E-2</v>
      </c>
    </row>
    <row r="326" spans="2:19" outlineLevel="1" x14ac:dyDescent="0.3">
      <c r="C326" s="8" t="s">
        <v>94</v>
      </c>
      <c r="D326" s="16" t="s">
        <v>141</v>
      </c>
      <c r="E326" s="53">
        <f xml:space="preserve"> INPUTS│Outcomes!E233</f>
        <v>189</v>
      </c>
      <c r="F326" s="53">
        <f xml:space="preserve"> INPUTS│Outcomes!F233</f>
        <v>148</v>
      </c>
      <c r="G326" s="53">
        <f xml:space="preserve"> INPUTS│Outcomes!G233</f>
        <v>135</v>
      </c>
      <c r="H326" s="53">
        <f xml:space="preserve"> INPUTS│Outcomes!H233</f>
        <v>75</v>
      </c>
      <c r="I326" s="53">
        <f xml:space="preserve"> INPUTS│Outcomes!I233</f>
        <v>35</v>
      </c>
      <c r="J326" s="53">
        <f xml:space="preserve"> INPUTS│Outcomes!J233</f>
        <v>31</v>
      </c>
      <c r="K326" s="53">
        <f xml:space="preserve"> INPUTS│Outcomes!K233</f>
        <v>39</v>
      </c>
      <c r="L326" s="53">
        <f xml:space="preserve"> INPUTS│Outcomes!L233</f>
        <v>110</v>
      </c>
      <c r="N326" s="88">
        <f t="shared" si="77"/>
        <v>-79</v>
      </c>
      <c r="O326" s="58">
        <f t="shared" si="79"/>
        <v>-0.41798941798941797</v>
      </c>
      <c r="Q326" s="88">
        <f t="shared" si="80"/>
        <v>71</v>
      </c>
      <c r="R326" s="58">
        <f t="shared" si="78"/>
        <v>1.8205128205128205</v>
      </c>
    </row>
    <row r="327" spans="2:19" outlineLevel="1" x14ac:dyDescent="0.3">
      <c r="C327" s="8" t="s">
        <v>96</v>
      </c>
      <c r="D327" s="16" t="s">
        <v>141</v>
      </c>
      <c r="E327" s="53">
        <f xml:space="preserve"> INPUTS│Outcomes!E234</f>
        <v>68</v>
      </c>
      <c r="F327" s="53">
        <f xml:space="preserve"> INPUTS│Outcomes!F234</f>
        <v>90</v>
      </c>
      <c r="G327" s="53">
        <f xml:space="preserve"> INPUTS│Outcomes!G234</f>
        <v>76</v>
      </c>
      <c r="H327" s="53">
        <f xml:space="preserve"> INPUTS│Outcomes!H234</f>
        <v>38</v>
      </c>
      <c r="I327" s="53">
        <f xml:space="preserve"> INPUTS│Outcomes!I234</f>
        <v>33</v>
      </c>
      <c r="J327" s="53">
        <f xml:space="preserve"> INPUTS│Outcomes!J234</f>
        <v>28</v>
      </c>
      <c r="K327" s="53">
        <f xml:space="preserve"> INPUTS│Outcomes!K234</f>
        <v>27</v>
      </c>
      <c r="L327" s="53">
        <f xml:space="preserve"> INPUTS│Outcomes!L234</f>
        <v>30</v>
      </c>
      <c r="N327" s="88">
        <f t="shared" si="77"/>
        <v>-38</v>
      </c>
      <c r="O327" s="58">
        <f t="shared" si="79"/>
        <v>-0.55882352941176472</v>
      </c>
      <c r="Q327" s="88">
        <f t="shared" si="80"/>
        <v>3</v>
      </c>
      <c r="R327" s="58">
        <f t="shared" si="78"/>
        <v>0.1111111111111111</v>
      </c>
    </row>
    <row r="328" spans="2:19" outlineLevel="1" x14ac:dyDescent="0.3">
      <c r="C328" s="8" t="s">
        <v>98</v>
      </c>
      <c r="D328" s="16" t="s">
        <v>141</v>
      </c>
      <c r="E328" s="53">
        <f xml:space="preserve"> INPUTS│Outcomes!E235</f>
        <v>74</v>
      </c>
      <c r="F328" s="53">
        <f xml:space="preserve"> INPUTS│Outcomes!F235</f>
        <v>48</v>
      </c>
      <c r="G328" s="53">
        <f xml:space="preserve"> INPUTS│Outcomes!G235</f>
        <v>49</v>
      </c>
      <c r="H328" s="53">
        <f xml:space="preserve"> INPUTS│Outcomes!H235</f>
        <v>40</v>
      </c>
      <c r="I328" s="53">
        <f xml:space="preserve"> INPUTS│Outcomes!I235</f>
        <v>22</v>
      </c>
      <c r="J328" s="53">
        <f xml:space="preserve"> INPUTS│Outcomes!J235</f>
        <v>23</v>
      </c>
      <c r="K328" s="53">
        <f xml:space="preserve"> INPUTS│Outcomes!K235</f>
        <v>24</v>
      </c>
      <c r="L328" s="53">
        <f xml:space="preserve"> INPUTS│Outcomes!L235</f>
        <v>28</v>
      </c>
      <c r="N328" s="88">
        <f t="shared" si="77"/>
        <v>-46</v>
      </c>
      <c r="O328" s="58">
        <f t="shared" si="79"/>
        <v>-0.6216216216216216</v>
      </c>
      <c r="Q328" s="88">
        <f t="shared" si="80"/>
        <v>4</v>
      </c>
      <c r="R328" s="58">
        <f t="shared" si="78"/>
        <v>0.16666666666666666</v>
      </c>
    </row>
    <row r="329" spans="2:19" outlineLevel="1" x14ac:dyDescent="0.3">
      <c r="C329" s="8" t="s">
        <v>100</v>
      </c>
      <c r="D329" s="16" t="s">
        <v>141</v>
      </c>
      <c r="E329" s="53">
        <f xml:space="preserve"> INPUTS│Outcomes!E236</f>
        <v>35</v>
      </c>
      <c r="F329" s="53">
        <f xml:space="preserve"> INPUTS│Outcomes!F236</f>
        <v>48</v>
      </c>
      <c r="G329" s="53">
        <f xml:space="preserve"> INPUTS│Outcomes!G236</f>
        <v>44</v>
      </c>
      <c r="H329" s="53">
        <f xml:space="preserve"> INPUTS│Outcomes!H236</f>
        <v>48</v>
      </c>
      <c r="I329" s="53">
        <f xml:space="preserve"> INPUTS│Outcomes!I236</f>
        <v>22</v>
      </c>
      <c r="J329" s="53">
        <f xml:space="preserve"> INPUTS│Outcomes!J236</f>
        <v>23</v>
      </c>
      <c r="K329" s="53">
        <f xml:space="preserve"> INPUTS│Outcomes!K236</f>
        <v>24</v>
      </c>
      <c r="L329" s="53">
        <f xml:space="preserve"> INPUTS│Outcomes!L236</f>
        <v>22</v>
      </c>
      <c r="N329" s="88">
        <f t="shared" si="77"/>
        <v>-13</v>
      </c>
      <c r="O329" s="58">
        <f t="shared" si="79"/>
        <v>-0.37142857142857144</v>
      </c>
      <c r="Q329" s="88">
        <f t="shared" si="80"/>
        <v>-2</v>
      </c>
      <c r="R329" s="58">
        <f t="shared" si="78"/>
        <v>-8.3333333333333329E-2</v>
      </c>
    </row>
    <row r="330" spans="2:19" outlineLevel="1" x14ac:dyDescent="0.3">
      <c r="C330" s="8" t="s">
        <v>102</v>
      </c>
      <c r="D330" s="16" t="s">
        <v>141</v>
      </c>
      <c r="E330" s="53">
        <f xml:space="preserve"> INPUTS│Outcomes!E237</f>
        <v>83</v>
      </c>
      <c r="F330" s="53">
        <f xml:space="preserve"> INPUTS│Outcomes!F237</f>
        <v>78</v>
      </c>
      <c r="G330" s="53">
        <f xml:space="preserve"> INPUTS│Outcomes!G237</f>
        <v>59</v>
      </c>
      <c r="H330" s="53">
        <f xml:space="preserve"> INPUTS│Outcomes!H237</f>
        <v>72</v>
      </c>
      <c r="I330" s="53">
        <f xml:space="preserve"> INPUTS│Outcomes!I237</f>
        <v>46</v>
      </c>
      <c r="J330" s="53">
        <f xml:space="preserve"> INPUTS│Outcomes!J237</f>
        <v>43</v>
      </c>
      <c r="K330" s="53">
        <f xml:space="preserve"> INPUTS│Outcomes!K237</f>
        <v>44</v>
      </c>
      <c r="L330" s="53">
        <f xml:space="preserve"> INPUTS│Outcomes!L237</f>
        <v>35</v>
      </c>
      <c r="N330" s="88">
        <f t="shared" si="77"/>
        <v>-48</v>
      </c>
      <c r="O330" s="58">
        <f t="shared" si="79"/>
        <v>-0.57831325301204817</v>
      </c>
      <c r="Q330" s="88">
        <f t="shared" si="80"/>
        <v>-9</v>
      </c>
      <c r="R330" s="58">
        <f t="shared" si="78"/>
        <v>-0.20454545454545456</v>
      </c>
    </row>
    <row r="331" spans="2:19" outlineLevel="1" x14ac:dyDescent="0.3"/>
    <row r="332" spans="2:19" ht="13.5" outlineLevel="1" x14ac:dyDescent="0.35">
      <c r="B332" s="31" t="s">
        <v>383</v>
      </c>
      <c r="C332" s="31"/>
      <c r="D332" s="31"/>
      <c r="E332" s="31"/>
      <c r="F332" s="31"/>
      <c r="G332" s="31"/>
      <c r="H332" s="31"/>
      <c r="I332" s="31"/>
      <c r="J332" s="31"/>
      <c r="K332" s="31"/>
      <c r="L332" s="31"/>
      <c r="M332" s="31"/>
      <c r="N332" s="31"/>
      <c r="O332" s="31"/>
      <c r="P332" s="31"/>
      <c r="Q332" s="31"/>
      <c r="R332" s="31"/>
      <c r="S332" s="31"/>
    </row>
    <row r="333" spans="2:19" outlineLevel="1" x14ac:dyDescent="0.3"/>
    <row r="334" spans="2:19" ht="30" customHeight="1" outlineLevel="1" x14ac:dyDescent="0.3">
      <c r="N334" s="51" t="s">
        <v>574</v>
      </c>
      <c r="O334" s="52" t="s">
        <v>576</v>
      </c>
      <c r="Q334" s="51" t="str">
        <f xml:space="preserve"> "Net change (from " &amp; Last_year &amp; ")"</f>
        <v>Net change (from 2018-19)</v>
      </c>
      <c r="R334" s="52" t="s">
        <v>576</v>
      </c>
    </row>
    <row r="335" spans="2:19" outlineLevel="1" x14ac:dyDescent="0.3">
      <c r="C335" s="8" t="s">
        <v>80</v>
      </c>
      <c r="D335" s="16" t="s">
        <v>141</v>
      </c>
      <c r="E335" s="228">
        <f xml:space="preserve"> INPUTS│Outcomes!E243</f>
        <v>446</v>
      </c>
      <c r="F335" s="228">
        <f xml:space="preserve"> INPUTS│Outcomes!F243</f>
        <v>392</v>
      </c>
      <c r="G335" s="228">
        <f xml:space="preserve"> INPUTS│Outcomes!G243</f>
        <v>394</v>
      </c>
      <c r="H335" s="228">
        <f xml:space="preserve"> INPUTS│Outcomes!H243</f>
        <v>152</v>
      </c>
      <c r="I335" s="228">
        <f xml:space="preserve"> INPUTS│Outcomes!I243</f>
        <v>220</v>
      </c>
      <c r="J335" s="228">
        <f xml:space="preserve"> INPUTS│Outcomes!J243</f>
        <v>224</v>
      </c>
      <c r="K335" s="228">
        <f xml:space="preserve"> INPUTS│Outcomes!K243</f>
        <v>189</v>
      </c>
      <c r="L335" s="228">
        <f xml:space="preserve"> INPUTS│Outcomes!L243</f>
        <v>265</v>
      </c>
      <c r="N335" s="15">
        <f xml:space="preserve"> INDEX( E335:L335, 1, MATCH( Year, $E$2:$L$2, 0 ) ) - E335</f>
        <v>-181</v>
      </c>
      <c r="O335" s="235">
        <f xml:space="preserve"> IF( E335 = 0, "-", N335 / E335 )</f>
        <v>-0.40582959641255606</v>
      </c>
      <c r="Q335" s="15">
        <f t="shared" ref="Q335:Q345" si="81" xml:space="preserve"> INDEX( E335:L335, 1, MATCH( Year, $E$2:$L$2, 0 ) ) - INDEX( E335:L335, 1, MATCH( Last_year, $E$2:$L$2, 0 ) )</f>
        <v>76</v>
      </c>
      <c r="R335" s="235">
        <f t="shared" ref="R335:R345" si="82" xml:space="preserve"> IF( INDEX( $E335:$L335, 1, MATCH( Last_year, $E$2:$L$2, 0 ) ) = 0, "-", Q335 / INDEX( $E335:$L335, 1, MATCH( Last_year, $E$2:$L$2, 0 ) ) )</f>
        <v>0.40211640211640209</v>
      </c>
    </row>
    <row r="336" spans="2:19" outlineLevel="1" x14ac:dyDescent="0.3">
      <c r="C336" s="8" t="s">
        <v>82</v>
      </c>
      <c r="D336" s="16" t="s">
        <v>141</v>
      </c>
      <c r="E336" s="228">
        <f xml:space="preserve"> INPUTS│Outcomes!E244</f>
        <v>199</v>
      </c>
      <c r="F336" s="228">
        <f xml:space="preserve"> INPUTS│Outcomes!F244</f>
        <v>122</v>
      </c>
      <c r="G336" s="228">
        <f xml:space="preserve"> INPUTS│Outcomes!G244</f>
        <v>108</v>
      </c>
      <c r="H336" s="228">
        <f xml:space="preserve"> INPUTS│Outcomes!H244</f>
        <v>109</v>
      </c>
      <c r="I336" s="228">
        <f xml:space="preserve"> INPUTS│Outcomes!I244</f>
        <v>107</v>
      </c>
      <c r="J336" s="228">
        <f xml:space="preserve"> INPUTS│Outcomes!J244</f>
        <v>103</v>
      </c>
      <c r="K336" s="228">
        <f xml:space="preserve"> INPUTS│Outcomes!K244</f>
        <v>101</v>
      </c>
      <c r="L336" s="228">
        <f xml:space="preserve"> INPUTS│Outcomes!L244</f>
        <v>94</v>
      </c>
      <c r="N336" s="15">
        <f t="shared" ref="N336:N345" si="83" xml:space="preserve"> INDEX( E336:L336, 1, MATCH( Year, $E$2:$L$2, 0 ) ) - E336</f>
        <v>-105</v>
      </c>
      <c r="O336" s="235">
        <f t="shared" ref="O336:O345" si="84" xml:space="preserve"> IF( E336 = 0, "-", N336 / E336 )</f>
        <v>-0.52763819095477382</v>
      </c>
      <c r="Q336" s="15">
        <f t="shared" si="81"/>
        <v>-7</v>
      </c>
      <c r="R336" s="235">
        <f t="shared" si="82"/>
        <v>-6.9306930693069313E-2</v>
      </c>
    </row>
    <row r="337" spans="2:19" outlineLevel="1" x14ac:dyDescent="0.3">
      <c r="C337" s="8" t="s">
        <v>85</v>
      </c>
      <c r="D337" s="16" t="s">
        <v>141</v>
      </c>
      <c r="E337" s="228">
        <f xml:space="preserve"> INPUTS│Outcomes!E245</f>
        <v>0</v>
      </c>
      <c r="F337" s="228">
        <f xml:space="preserve"> INPUTS│Outcomes!F245</f>
        <v>0</v>
      </c>
      <c r="G337" s="228">
        <f xml:space="preserve"> INPUTS│Outcomes!G245</f>
        <v>0</v>
      </c>
      <c r="H337" s="228">
        <f xml:space="preserve"> INPUTS│Outcomes!H245</f>
        <v>0</v>
      </c>
      <c r="I337" s="228">
        <f xml:space="preserve"> INPUTS│Outcomes!I245</f>
        <v>0</v>
      </c>
      <c r="J337" s="228">
        <f xml:space="preserve"> INPUTS│Outcomes!J245</f>
        <v>0</v>
      </c>
      <c r="K337" s="228">
        <f xml:space="preserve"> INPUTS│Outcomes!K245</f>
        <v>4</v>
      </c>
      <c r="L337" s="228">
        <f xml:space="preserve"> INPUTS│Outcomes!L245</f>
        <v>2</v>
      </c>
      <c r="N337" s="15">
        <f t="shared" si="83"/>
        <v>2</v>
      </c>
      <c r="O337" s="235" t="str">
        <f t="shared" si="84"/>
        <v>-</v>
      </c>
      <c r="Q337" s="15">
        <f t="shared" si="81"/>
        <v>-2</v>
      </c>
      <c r="R337" s="235">
        <f t="shared" si="82"/>
        <v>-0.5</v>
      </c>
    </row>
    <row r="338" spans="2:19" outlineLevel="1" x14ac:dyDescent="0.3">
      <c r="C338" s="8" t="s">
        <v>87</v>
      </c>
      <c r="D338" s="16" t="s">
        <v>141</v>
      </c>
      <c r="E338" s="228">
        <f xml:space="preserve"> INPUTS│Outcomes!E246</f>
        <v>192</v>
      </c>
      <c r="F338" s="228">
        <f xml:space="preserve"> INPUTS│Outcomes!F246</f>
        <v>127</v>
      </c>
      <c r="G338" s="228">
        <f xml:space="preserve"> INPUTS│Outcomes!G246</f>
        <v>87</v>
      </c>
      <c r="H338" s="228">
        <f xml:space="preserve"> INPUTS│Outcomes!H246</f>
        <v>156</v>
      </c>
      <c r="I338" s="228">
        <f xml:space="preserve"> INPUTS│Outcomes!I246</f>
        <v>110</v>
      </c>
      <c r="J338" s="228">
        <f xml:space="preserve"> INPUTS│Outcomes!J246</f>
        <v>50</v>
      </c>
      <c r="K338" s="228">
        <f xml:space="preserve"> INPUTS│Outcomes!K246</f>
        <v>37</v>
      </c>
      <c r="L338" s="228">
        <f xml:space="preserve"> INPUTS│Outcomes!L246</f>
        <v>46</v>
      </c>
      <c r="N338" s="15">
        <f t="shared" si="83"/>
        <v>-146</v>
      </c>
      <c r="O338" s="235">
        <f t="shared" si="84"/>
        <v>-0.76041666666666663</v>
      </c>
      <c r="Q338" s="15">
        <f t="shared" si="81"/>
        <v>9</v>
      </c>
      <c r="R338" s="235">
        <f t="shared" si="82"/>
        <v>0.24324324324324326</v>
      </c>
    </row>
    <row r="339" spans="2:19" outlineLevel="1" x14ac:dyDescent="0.3">
      <c r="C339" s="8" t="s">
        <v>89</v>
      </c>
      <c r="D339" s="16" t="s">
        <v>141</v>
      </c>
      <c r="E339" s="228">
        <f xml:space="preserve"> INPUTS│Outcomes!E247</f>
        <v>365</v>
      </c>
      <c r="F339" s="228">
        <f xml:space="preserve"> INPUTS│Outcomes!F247</f>
        <v>431</v>
      </c>
      <c r="G339" s="228">
        <f xml:space="preserve"> INPUTS│Outcomes!G247</f>
        <v>354</v>
      </c>
      <c r="H339" s="228">
        <f xml:space="preserve"> INPUTS│Outcomes!H247</f>
        <v>256</v>
      </c>
      <c r="I339" s="228">
        <f xml:space="preserve"> INPUTS│Outcomes!I247</f>
        <v>268</v>
      </c>
      <c r="J339" s="228">
        <f xml:space="preserve"> INPUTS│Outcomes!J247</f>
        <v>277</v>
      </c>
      <c r="K339" s="228">
        <f xml:space="preserve"> INPUTS│Outcomes!K247</f>
        <v>279</v>
      </c>
      <c r="L339" s="228">
        <f xml:space="preserve"> INPUTS│Outcomes!L247</f>
        <v>235</v>
      </c>
      <c r="N339" s="15">
        <f t="shared" si="83"/>
        <v>-130</v>
      </c>
      <c r="O339" s="235">
        <f t="shared" si="84"/>
        <v>-0.35616438356164382</v>
      </c>
      <c r="Q339" s="15">
        <f t="shared" si="81"/>
        <v>-44</v>
      </c>
      <c r="R339" s="235">
        <f t="shared" si="82"/>
        <v>-0.15770609318996415</v>
      </c>
    </row>
    <row r="340" spans="2:19" outlineLevel="1" x14ac:dyDescent="0.3">
      <c r="C340" s="8" t="s">
        <v>91</v>
      </c>
      <c r="D340" s="16" t="s">
        <v>141</v>
      </c>
      <c r="E340" s="228">
        <f xml:space="preserve"> INPUTS│Outcomes!E248</f>
        <v>206</v>
      </c>
      <c r="F340" s="228">
        <f xml:space="preserve"> INPUTS│Outcomes!F248</f>
        <v>246</v>
      </c>
      <c r="G340" s="228">
        <f xml:space="preserve"> INPUTS│Outcomes!G248</f>
        <v>156</v>
      </c>
      <c r="H340" s="228">
        <f xml:space="preserve"> INPUTS│Outcomes!H248</f>
        <v>158</v>
      </c>
      <c r="I340" s="228">
        <f xml:space="preserve"> INPUTS│Outcomes!I248</f>
        <v>179</v>
      </c>
      <c r="J340" s="228">
        <f xml:space="preserve"> INPUTS│Outcomes!J248</f>
        <v>169</v>
      </c>
      <c r="K340" s="228">
        <f xml:space="preserve"> INPUTS│Outcomes!K248</f>
        <v>168</v>
      </c>
      <c r="L340" s="228">
        <f xml:space="preserve"> INPUTS│Outcomes!L248</f>
        <v>180</v>
      </c>
      <c r="N340" s="15">
        <f t="shared" si="83"/>
        <v>-26</v>
      </c>
      <c r="O340" s="235">
        <f t="shared" si="84"/>
        <v>-0.12621359223300971</v>
      </c>
      <c r="Q340" s="15">
        <f t="shared" si="81"/>
        <v>12</v>
      </c>
      <c r="R340" s="235">
        <f t="shared" si="82"/>
        <v>7.1428571428571425E-2</v>
      </c>
    </row>
    <row r="341" spans="2:19" outlineLevel="1" x14ac:dyDescent="0.3">
      <c r="C341" s="8" t="s">
        <v>94</v>
      </c>
      <c r="D341" s="16" t="s">
        <v>141</v>
      </c>
      <c r="E341" s="228">
        <f xml:space="preserve"> INPUTS│Outcomes!E249</f>
        <v>409</v>
      </c>
      <c r="F341" s="228">
        <f xml:space="preserve"> INPUTS│Outcomes!F249</f>
        <v>320</v>
      </c>
      <c r="G341" s="228">
        <f xml:space="preserve"> INPUTS│Outcomes!G249</f>
        <v>292</v>
      </c>
      <c r="H341" s="228">
        <f xml:space="preserve"> INPUTS│Outcomes!H249</f>
        <v>163</v>
      </c>
      <c r="I341" s="228">
        <f xml:space="preserve"> INPUTS│Outcomes!I249</f>
        <v>138</v>
      </c>
      <c r="J341" s="228">
        <f xml:space="preserve"> INPUTS│Outcomes!J249</f>
        <v>123</v>
      </c>
      <c r="K341" s="228">
        <f xml:space="preserve"> INPUTS│Outcomes!K249</f>
        <v>149</v>
      </c>
      <c r="L341" s="228">
        <f xml:space="preserve"> INPUTS│Outcomes!L249</f>
        <v>430</v>
      </c>
      <c r="N341" s="15">
        <f t="shared" si="83"/>
        <v>21</v>
      </c>
      <c r="O341" s="235">
        <f t="shared" si="84"/>
        <v>5.1344743276283619E-2</v>
      </c>
      <c r="Q341" s="15">
        <f t="shared" si="81"/>
        <v>281</v>
      </c>
      <c r="R341" s="235">
        <f t="shared" si="82"/>
        <v>1.8859060402684564</v>
      </c>
    </row>
    <row r="342" spans="2:19" outlineLevel="1" x14ac:dyDescent="0.3">
      <c r="C342" s="8" t="s">
        <v>96</v>
      </c>
      <c r="D342" s="16" t="s">
        <v>141</v>
      </c>
      <c r="E342" s="228">
        <f xml:space="preserve"> INPUTS│Outcomes!E250</f>
        <v>468</v>
      </c>
      <c r="F342" s="228">
        <f xml:space="preserve"> INPUTS│Outcomes!F250</f>
        <v>612</v>
      </c>
      <c r="G342" s="228">
        <f xml:space="preserve"> INPUTS│Outcomes!G250</f>
        <v>517</v>
      </c>
      <c r="H342" s="228">
        <f xml:space="preserve"> INPUTS│Outcomes!H250</f>
        <v>263</v>
      </c>
      <c r="I342" s="228">
        <f xml:space="preserve"> INPUTS│Outcomes!I250</f>
        <v>357</v>
      </c>
      <c r="J342" s="228">
        <f xml:space="preserve"> INPUTS│Outcomes!J250</f>
        <v>302</v>
      </c>
      <c r="K342" s="228">
        <f xml:space="preserve"> INPUTS│Outcomes!K250</f>
        <v>297</v>
      </c>
      <c r="L342" s="228">
        <f xml:space="preserve"> INPUTS│Outcomes!L250</f>
        <v>325</v>
      </c>
      <c r="N342" s="15">
        <f t="shared" si="83"/>
        <v>-143</v>
      </c>
      <c r="O342" s="235">
        <f t="shared" si="84"/>
        <v>-0.30555555555555558</v>
      </c>
      <c r="Q342" s="15">
        <f t="shared" si="81"/>
        <v>28</v>
      </c>
      <c r="R342" s="235">
        <f t="shared" si="82"/>
        <v>9.4276094276094277E-2</v>
      </c>
    </row>
    <row r="343" spans="2:19" outlineLevel="1" x14ac:dyDescent="0.3">
      <c r="C343" s="8" t="s">
        <v>98</v>
      </c>
      <c r="D343" s="16" t="s">
        <v>141</v>
      </c>
      <c r="E343" s="228">
        <f xml:space="preserve"> INPUTS│Outcomes!E251</f>
        <v>324</v>
      </c>
      <c r="F343" s="228">
        <f xml:space="preserve"> INPUTS│Outcomes!F251</f>
        <v>208</v>
      </c>
      <c r="G343" s="228">
        <f xml:space="preserve"> INPUTS│Outcomes!G251</f>
        <v>214</v>
      </c>
      <c r="H343" s="228">
        <f xml:space="preserve"> INPUTS│Outcomes!H251</f>
        <v>175</v>
      </c>
      <c r="I343" s="228">
        <f xml:space="preserve"> INPUTS│Outcomes!I251</f>
        <v>171</v>
      </c>
      <c r="J343" s="228">
        <f xml:space="preserve"> INPUTS│Outcomes!J251</f>
        <v>166</v>
      </c>
      <c r="K343" s="228">
        <f xml:space="preserve"> INPUTS│Outcomes!K251</f>
        <v>179</v>
      </c>
      <c r="L343" s="228">
        <f xml:space="preserve"> INPUTS│Outcomes!L251</f>
        <v>202</v>
      </c>
      <c r="N343" s="15">
        <f t="shared" si="83"/>
        <v>-122</v>
      </c>
      <c r="O343" s="235">
        <f t="shared" si="84"/>
        <v>-0.37654320987654322</v>
      </c>
      <c r="Q343" s="15">
        <f t="shared" si="81"/>
        <v>23</v>
      </c>
      <c r="R343" s="235">
        <f t="shared" si="82"/>
        <v>0.12849162011173185</v>
      </c>
    </row>
    <row r="344" spans="2:19" outlineLevel="1" x14ac:dyDescent="0.3">
      <c r="C344" s="8" t="s">
        <v>100</v>
      </c>
      <c r="D344" s="16" t="s">
        <v>141</v>
      </c>
      <c r="E344" s="228">
        <f xml:space="preserve"> INPUTS│Outcomes!E252</f>
        <v>61</v>
      </c>
      <c r="F344" s="228">
        <f xml:space="preserve"> INPUTS│Outcomes!F252</f>
        <v>83</v>
      </c>
      <c r="G344" s="228">
        <f xml:space="preserve"> INPUTS│Outcomes!G252</f>
        <v>76</v>
      </c>
      <c r="H344" s="228">
        <f xml:space="preserve"> INPUTS│Outcomes!H252</f>
        <v>83</v>
      </c>
      <c r="I344" s="228">
        <f xml:space="preserve"> INPUTS│Outcomes!I252</f>
        <v>74</v>
      </c>
      <c r="J344" s="228">
        <f xml:space="preserve"> INPUTS│Outcomes!J252</f>
        <v>79</v>
      </c>
      <c r="K344" s="228">
        <f xml:space="preserve"> INPUTS│Outcomes!K252</f>
        <v>82</v>
      </c>
      <c r="L344" s="228">
        <f xml:space="preserve"> INPUTS│Outcomes!L252</f>
        <v>76</v>
      </c>
      <c r="N344" s="15">
        <f t="shared" si="83"/>
        <v>15</v>
      </c>
      <c r="O344" s="235">
        <f t="shared" si="84"/>
        <v>0.24590163934426229</v>
      </c>
      <c r="Q344" s="15">
        <f t="shared" si="81"/>
        <v>-6</v>
      </c>
      <c r="R344" s="235">
        <f t="shared" si="82"/>
        <v>-7.3170731707317069E-2</v>
      </c>
    </row>
    <row r="345" spans="2:19" outlineLevel="1" x14ac:dyDescent="0.3">
      <c r="C345" s="8" t="s">
        <v>102</v>
      </c>
      <c r="D345" s="16" t="s">
        <v>141</v>
      </c>
      <c r="E345" s="228">
        <f xml:space="preserve"> INPUTS│Outcomes!E253</f>
        <v>253</v>
      </c>
      <c r="F345" s="228">
        <f xml:space="preserve"> INPUTS│Outcomes!F253</f>
        <v>239</v>
      </c>
      <c r="G345" s="228">
        <f xml:space="preserve"> INPUTS│Outcomes!G253</f>
        <v>180</v>
      </c>
      <c r="H345" s="228">
        <f xml:space="preserve"> INPUTS│Outcomes!H253</f>
        <v>219</v>
      </c>
      <c r="I345" s="228">
        <f xml:space="preserve"> INPUTS│Outcomes!I253</f>
        <v>237</v>
      </c>
      <c r="J345" s="228">
        <f xml:space="preserve"> INPUTS│Outcomes!J253</f>
        <v>222</v>
      </c>
      <c r="K345" s="228">
        <f xml:space="preserve"> INPUTS│Outcomes!K253</f>
        <v>224</v>
      </c>
      <c r="L345" s="228">
        <f xml:space="preserve"> INPUTS│Outcomes!L253</f>
        <v>177</v>
      </c>
      <c r="N345" s="15">
        <f t="shared" si="83"/>
        <v>-76</v>
      </c>
      <c r="O345" s="235">
        <f t="shared" si="84"/>
        <v>-0.30039525691699603</v>
      </c>
      <c r="Q345" s="15">
        <f t="shared" si="81"/>
        <v>-47</v>
      </c>
      <c r="R345" s="235">
        <f t="shared" si="82"/>
        <v>-0.20982142857142858</v>
      </c>
    </row>
    <row r="346" spans="2:19" outlineLevel="1" x14ac:dyDescent="0.3">
      <c r="N346" s="55"/>
      <c r="Q346" s="55"/>
    </row>
    <row r="347" spans="2:19" outlineLevel="1" x14ac:dyDescent="0.3">
      <c r="C347" s="2" t="s">
        <v>424</v>
      </c>
      <c r="D347" s="3" t="s">
        <v>141</v>
      </c>
      <c r="E347" s="15">
        <f t="shared" ref="E347:L347" si="85" xml:space="preserve"> SUM( E335:E345 )</f>
        <v>2923</v>
      </c>
      <c r="F347" s="15">
        <f t="shared" si="85"/>
        <v>2780</v>
      </c>
      <c r="G347" s="15">
        <f t="shared" si="85"/>
        <v>2378</v>
      </c>
      <c r="H347" s="15">
        <f t="shared" si="85"/>
        <v>1734</v>
      </c>
      <c r="I347" s="15">
        <f t="shared" si="85"/>
        <v>1861</v>
      </c>
      <c r="J347" s="15">
        <f t="shared" si="85"/>
        <v>1715</v>
      </c>
      <c r="K347" s="15">
        <f t="shared" si="85"/>
        <v>1709</v>
      </c>
      <c r="L347" s="15">
        <f t="shared" si="85"/>
        <v>2032</v>
      </c>
      <c r="N347" s="15">
        <f xml:space="preserve"> INDEX( E347:L347, 1, MATCH( Year, $E$2:$L$2, 0 ) ) - E347</f>
        <v>-891</v>
      </c>
      <c r="O347" s="235">
        <f xml:space="preserve"> IF( E347 = 0, "-", N347 / E347 )</f>
        <v>-0.30482381115292506</v>
      </c>
      <c r="Q347" s="15">
        <f xml:space="preserve"> INDEX( E347:L347, 1, MATCH( Year, $E$2:$L$2, 0 ) ) - INDEX( E347:L347, 1, MATCH( Last_year, $E$2:$L$2, 0 ) )</f>
        <v>323</v>
      </c>
      <c r="R347" s="235">
        <f xml:space="preserve"> IF( INDEX( $E347:$L347, 1, MATCH( Last_year, $E$2:$L$2, 0 ) ) = 0, "-", Q347 / INDEX( $E347:$L347, 1, MATCH( Last_year, $E$2:$L$2, 0 ) ) )</f>
        <v>0.18899941486249269</v>
      </c>
    </row>
    <row r="349" spans="2:19" ht="13.5" x14ac:dyDescent="0.35">
      <c r="B349" s="9" t="s">
        <v>496</v>
      </c>
      <c r="C349" s="9"/>
      <c r="D349" s="9"/>
      <c r="E349" s="9"/>
      <c r="F349" s="9"/>
      <c r="G349" s="9"/>
      <c r="H349" s="9"/>
      <c r="I349" s="9"/>
      <c r="J349" s="9"/>
      <c r="K349" s="9"/>
      <c r="L349" s="9"/>
      <c r="M349" s="9"/>
      <c r="N349" s="9"/>
      <c r="O349" s="9"/>
      <c r="P349" s="9"/>
      <c r="Q349" s="9"/>
      <c r="R349" s="9"/>
      <c r="S349" s="9"/>
    </row>
    <row r="350" spans="2:19" outlineLevel="1" x14ac:dyDescent="0.3"/>
    <row r="351" spans="2:19" outlineLevel="1" x14ac:dyDescent="0.3">
      <c r="C351" s="8" t="s">
        <v>80</v>
      </c>
      <c r="D351" s="11" t="s">
        <v>133</v>
      </c>
      <c r="E351" s="236">
        <f xml:space="preserve"> IFERROR( INPUTS│Outcomes!E285 / INPUTS│Outcomes!E261, 0 )</f>
        <v>0</v>
      </c>
      <c r="F351" s="236">
        <f xml:space="preserve"> IFERROR( INPUTS│Outcomes!F285 / INPUTS│Outcomes!F261, 0 )</f>
        <v>0</v>
      </c>
      <c r="G351" s="236">
        <f xml:space="preserve"> IFERROR( INPUTS│Outcomes!G285 / INPUTS│Outcomes!G261, 0 )</f>
        <v>0</v>
      </c>
      <c r="H351" s="236">
        <f xml:space="preserve"> IFERROR( INPUTS│Outcomes!H285 / INPUTS│Outcomes!H261, 0 )</f>
        <v>1</v>
      </c>
      <c r="I351" s="236">
        <f xml:space="preserve"> IFERROR( INPUTS│Outcomes!I285 / INPUTS│Outcomes!I261, 0 )</f>
        <v>0.7857142857142857</v>
      </c>
      <c r="J351" s="236">
        <f xml:space="preserve"> IFERROR( INPUTS│Outcomes!J285 / INPUTS│Outcomes!J261, 0 )</f>
        <v>0.93333333333333335</v>
      </c>
      <c r="K351" s="236">
        <f xml:space="preserve"> IFERROR( INPUTS│Outcomes!K285 / INPUTS│Outcomes!K261, 0 )</f>
        <v>0.9285714285714286</v>
      </c>
      <c r="L351" s="236">
        <f xml:space="preserve"> IFERROR( INPUTS│Outcomes!L285 / INPUTS│Outcomes!L261, 0 )</f>
        <v>0.66421052631578947</v>
      </c>
    </row>
    <row r="352" spans="2:19" outlineLevel="1" x14ac:dyDescent="0.3">
      <c r="C352" s="8" t="s">
        <v>82</v>
      </c>
      <c r="D352" s="11" t="s">
        <v>133</v>
      </c>
      <c r="E352" s="236">
        <f xml:space="preserve"> IFERROR( INPUTS│Outcomes!E286 / INPUTS│Outcomes!E262, 0 )</f>
        <v>0</v>
      </c>
      <c r="F352" s="236">
        <f xml:space="preserve"> IFERROR( INPUTS│Outcomes!F286 / INPUTS│Outcomes!F262, 0 )</f>
        <v>0</v>
      </c>
      <c r="G352" s="236">
        <f xml:space="preserve"> IFERROR( INPUTS│Outcomes!G286 / INPUTS│Outcomes!G262, 0 )</f>
        <v>0</v>
      </c>
      <c r="H352" s="236">
        <f xml:space="preserve"> IFERROR( INPUTS│Outcomes!H286 / INPUTS│Outcomes!H262, 0 )</f>
        <v>0.77419354838709675</v>
      </c>
      <c r="I352" s="236">
        <f xml:space="preserve"> IFERROR( INPUTS│Outcomes!I286 / INPUTS│Outcomes!I262, 0 )</f>
        <v>0.77419354838709675</v>
      </c>
      <c r="J352" s="236">
        <f xml:space="preserve"> IFERROR( INPUTS│Outcomes!J286 / INPUTS│Outcomes!J262, 0 )</f>
        <v>0.77777777777777779</v>
      </c>
      <c r="K352" s="236">
        <f xml:space="preserve"> IFERROR( INPUTS│Outcomes!K286 / INPUTS│Outcomes!K262, 0 )</f>
        <v>0.62962962962962965</v>
      </c>
      <c r="L352" s="236">
        <f xml:space="preserve"> IFERROR( INPUTS│Outcomes!L286 / INPUTS│Outcomes!L262, 0 )</f>
        <v>0.66666666666666663</v>
      </c>
    </row>
    <row r="353" spans="3:12" outlineLevel="1" x14ac:dyDescent="0.3">
      <c r="C353" s="8" t="s">
        <v>85</v>
      </c>
      <c r="D353" s="11" t="s">
        <v>133</v>
      </c>
      <c r="E353" s="236">
        <f xml:space="preserve"> IFERROR( INPUTS│Outcomes!E287 / INPUTS│Outcomes!E263, 0 )</f>
        <v>0</v>
      </c>
      <c r="F353" s="236">
        <f xml:space="preserve"> IFERROR( INPUTS│Outcomes!F287 / INPUTS│Outcomes!F263, 0 )</f>
        <v>0</v>
      </c>
      <c r="G353" s="236">
        <f xml:space="preserve"> IFERROR( INPUTS│Outcomes!G287 / INPUTS│Outcomes!G263, 0 )</f>
        <v>0</v>
      </c>
      <c r="H353" s="236">
        <f xml:space="preserve"> IFERROR( INPUTS│Outcomes!H287 / INPUTS│Outcomes!H263, 0 )</f>
        <v>0</v>
      </c>
      <c r="I353" s="236">
        <f xml:space="preserve"> IFERROR( INPUTS│Outcomes!I287 / INPUTS│Outcomes!I263, 0 )</f>
        <v>0</v>
      </c>
      <c r="J353" s="236">
        <f xml:space="preserve"> IFERROR( INPUTS│Outcomes!J287 / INPUTS│Outcomes!J263, 0 )</f>
        <v>0</v>
      </c>
      <c r="K353" s="236">
        <f xml:space="preserve"> IFERROR( INPUTS│Outcomes!K287 / INPUTS│Outcomes!K263, 0 )</f>
        <v>0.51282051282051277</v>
      </c>
      <c r="L353" s="236">
        <f xml:space="preserve"> IFERROR( INPUTS│Outcomes!L287 / INPUTS│Outcomes!L263, 0 )</f>
        <v>0.51282051282051277</v>
      </c>
    </row>
    <row r="354" spans="3:12" outlineLevel="1" x14ac:dyDescent="0.3">
      <c r="C354" s="8" t="s">
        <v>87</v>
      </c>
      <c r="D354" s="11" t="s">
        <v>133</v>
      </c>
      <c r="E354" s="236">
        <f xml:space="preserve"> IFERROR( INPUTS│Outcomes!E288 / INPUTS│Outcomes!E264, 0 )</f>
        <v>0</v>
      </c>
      <c r="F354" s="236">
        <f xml:space="preserve"> IFERROR( INPUTS│Outcomes!F288 / INPUTS│Outcomes!F264, 0 )</f>
        <v>0</v>
      </c>
      <c r="G354" s="236">
        <f xml:space="preserve"> IFERROR( INPUTS│Outcomes!G288 / INPUTS│Outcomes!G264, 0 )</f>
        <v>0</v>
      </c>
      <c r="H354" s="236">
        <f xml:space="preserve"> IFERROR( INPUTS│Outcomes!H288 / INPUTS│Outcomes!H264, 0 )</f>
        <v>0.68965517241379315</v>
      </c>
      <c r="I354" s="236">
        <f xml:space="preserve"> IFERROR( INPUTS│Outcomes!I288 / INPUTS│Outcomes!I264, 0 )</f>
        <v>0.68965517241379315</v>
      </c>
      <c r="J354" s="236">
        <f xml:space="preserve"> IFERROR( INPUTS│Outcomes!J288 / INPUTS│Outcomes!J264, 0 )</f>
        <v>0.75609756097560976</v>
      </c>
      <c r="K354" s="236">
        <f xml:space="preserve"> IFERROR( INPUTS│Outcomes!K288 / INPUTS│Outcomes!K264, 0 )</f>
        <v>0.58536585365853655</v>
      </c>
      <c r="L354" s="236">
        <f xml:space="preserve"> IFERROR( INPUTS│Outcomes!L288 / INPUTS│Outcomes!L264, 0 )</f>
        <v>0.7</v>
      </c>
    </row>
    <row r="355" spans="3:12" outlineLevel="1" x14ac:dyDescent="0.3">
      <c r="C355" s="8" t="s">
        <v>89</v>
      </c>
      <c r="D355" s="11" t="s">
        <v>133</v>
      </c>
      <c r="E355" s="236">
        <f xml:space="preserve"> IFERROR( INPUTS│Outcomes!E289 / INPUTS│Outcomes!E265, 0 )</f>
        <v>0</v>
      </c>
      <c r="F355" s="236">
        <f xml:space="preserve"> IFERROR( INPUTS│Outcomes!F289 / INPUTS│Outcomes!F265, 0 )</f>
        <v>0</v>
      </c>
      <c r="G355" s="236">
        <f xml:space="preserve"> IFERROR( INPUTS│Outcomes!G289 / INPUTS│Outcomes!G265, 0 )</f>
        <v>0</v>
      </c>
      <c r="H355" s="236">
        <f xml:space="preserve"> IFERROR( INPUTS│Outcomes!H289 / INPUTS│Outcomes!H265, 0 )</f>
        <v>0</v>
      </c>
      <c r="I355" s="236">
        <f xml:space="preserve"> IFERROR( INPUTS│Outcomes!I289 / INPUTS│Outcomes!I265, 0 )</f>
        <v>0</v>
      </c>
      <c r="J355" s="236">
        <f xml:space="preserve"> IFERROR( INPUTS│Outcomes!J289 / INPUTS│Outcomes!J265, 0 )</f>
        <v>0</v>
      </c>
      <c r="K355" s="236">
        <f xml:space="preserve"> IFERROR( INPUTS│Outcomes!K289 / INPUTS│Outcomes!K265, 0 )</f>
        <v>0.62222222222222223</v>
      </c>
      <c r="L355" s="236">
        <f xml:space="preserve"> IFERROR( INPUTS│Outcomes!L289 / INPUTS│Outcomes!L265, 0 )</f>
        <v>0.62</v>
      </c>
    </row>
    <row r="356" spans="3:12" outlineLevel="1" x14ac:dyDescent="0.3">
      <c r="C356" s="8" t="s">
        <v>91</v>
      </c>
      <c r="D356" s="11" t="s">
        <v>133</v>
      </c>
      <c r="E356" s="236">
        <f xml:space="preserve"> IFERROR( INPUTS│Outcomes!E291 / INPUTS│Outcomes!E267, 0 )</f>
        <v>0</v>
      </c>
      <c r="F356" s="236">
        <f xml:space="preserve"> IFERROR( INPUTS│Outcomes!F291 / INPUTS│Outcomes!F267, 0 )</f>
        <v>0</v>
      </c>
      <c r="G356" s="236">
        <f xml:space="preserve"> IFERROR( INPUTS│Outcomes!G291 / INPUTS│Outcomes!G267, 0 )</f>
        <v>0</v>
      </c>
      <c r="H356" s="236">
        <f xml:space="preserve"> IFERROR( INPUTS│Outcomes!H291 / INPUTS│Outcomes!H267, 0 )</f>
        <v>0.62068965517241381</v>
      </c>
      <c r="I356" s="236">
        <f xml:space="preserve"> IFERROR( INPUTS│Outcomes!I291 / INPUTS│Outcomes!I267, 0 )</f>
        <v>0.66666666666666663</v>
      </c>
      <c r="J356" s="236">
        <f xml:space="preserve"> IFERROR( INPUTS│Outcomes!J291 / INPUTS│Outcomes!J267, 0 )</f>
        <v>0.7142857142857143</v>
      </c>
      <c r="K356" s="236">
        <f xml:space="preserve"> IFERROR( INPUTS│Outcomes!K291 / INPUTS│Outcomes!K267, 0 )</f>
        <v>0.7142857142857143</v>
      </c>
      <c r="L356" s="236">
        <f xml:space="preserve"> IFERROR( INPUTS│Outcomes!L291 / INPUTS│Outcomes!L267, 0 )</f>
        <v>0.70370370370370372</v>
      </c>
    </row>
    <row r="357" spans="3:12" outlineLevel="1" x14ac:dyDescent="0.3">
      <c r="C357" s="8" t="s">
        <v>94</v>
      </c>
      <c r="D357" s="11" t="s">
        <v>133</v>
      </c>
      <c r="E357" s="236">
        <f xml:space="preserve"> IFERROR( INPUTS│Outcomes!E292 / INPUTS│Outcomes!E268, 0 )</f>
        <v>0</v>
      </c>
      <c r="F357" s="236">
        <f xml:space="preserve"> IFERROR( INPUTS│Outcomes!F292 / INPUTS│Outcomes!F268, 0 )</f>
        <v>0</v>
      </c>
      <c r="G357" s="236">
        <f xml:space="preserve"> IFERROR( INPUTS│Outcomes!G292 / INPUTS│Outcomes!G268, 0 )</f>
        <v>0</v>
      </c>
      <c r="H357" s="236">
        <f xml:space="preserve"> IFERROR( INPUTS│Outcomes!H292 / INPUTS│Outcomes!H268, 0 )</f>
        <v>0.63157894736842102</v>
      </c>
      <c r="I357" s="236">
        <f xml:space="preserve"> IFERROR( INPUTS│Outcomes!I292 / INPUTS│Outcomes!I268, 0 )</f>
        <v>0.625</v>
      </c>
      <c r="J357" s="236">
        <f xml:space="preserve"> IFERROR( INPUTS│Outcomes!J292 / INPUTS│Outcomes!J268, 0 )</f>
        <v>0.56000000000000005</v>
      </c>
      <c r="K357" s="236">
        <f xml:space="preserve"> IFERROR( INPUTS│Outcomes!K292 / INPUTS│Outcomes!K268, 0 )</f>
        <v>0.64</v>
      </c>
      <c r="L357" s="236">
        <f xml:space="preserve"> IFERROR( INPUTS│Outcomes!L292 / INPUTS│Outcomes!L268, 0 )</f>
        <v>0.33333333333333331</v>
      </c>
    </row>
    <row r="358" spans="3:12" outlineLevel="1" x14ac:dyDescent="0.3">
      <c r="C358" s="8" t="s">
        <v>96</v>
      </c>
      <c r="D358" s="11" t="s">
        <v>133</v>
      </c>
      <c r="E358" s="236">
        <f xml:space="preserve"> IFERROR( INPUTS│Outcomes!E293 / INPUTS│Outcomes!E269, 0 )</f>
        <v>0</v>
      </c>
      <c r="F358" s="236">
        <f xml:space="preserve"> IFERROR( INPUTS│Outcomes!F293 / INPUTS│Outcomes!F269, 0 )</f>
        <v>0</v>
      </c>
      <c r="G358" s="236">
        <f xml:space="preserve"> IFERROR( INPUTS│Outcomes!G293 / INPUTS│Outcomes!G269, 0 )</f>
        <v>0</v>
      </c>
      <c r="H358" s="236">
        <f xml:space="preserve"> IFERROR( INPUTS│Outcomes!H293 / INPUTS│Outcomes!H269, 0 )</f>
        <v>0.64102564102564108</v>
      </c>
      <c r="I358" s="236">
        <f xml:space="preserve"> IFERROR( INPUTS│Outcomes!I293 / INPUTS│Outcomes!I269, 0 )</f>
        <v>0.65853658536585369</v>
      </c>
      <c r="J358" s="236">
        <f xml:space="preserve"> IFERROR( INPUTS│Outcomes!J293 / INPUTS│Outcomes!J269, 0 )</f>
        <v>0.65116279069767447</v>
      </c>
      <c r="K358" s="236">
        <f xml:space="preserve"> IFERROR( INPUTS│Outcomes!K293 / INPUTS│Outcomes!K269, 0 )</f>
        <v>0.55000000000000004</v>
      </c>
      <c r="L358" s="236">
        <f xml:space="preserve"> IFERROR( INPUTS│Outcomes!L293 / INPUTS│Outcomes!L269, 0 )</f>
        <v>0.57999999999999996</v>
      </c>
    </row>
    <row r="359" spans="3:12" outlineLevel="1" x14ac:dyDescent="0.3">
      <c r="C359" s="8" t="s">
        <v>98</v>
      </c>
      <c r="D359" s="11" t="s">
        <v>133</v>
      </c>
      <c r="E359" s="236">
        <f xml:space="preserve"> IFERROR( INPUTS│Outcomes!E294 / INPUTS│Outcomes!E270, 0 )</f>
        <v>0</v>
      </c>
      <c r="F359" s="236">
        <f xml:space="preserve"> IFERROR( INPUTS│Outcomes!F294 / INPUTS│Outcomes!F270, 0 )</f>
        <v>0</v>
      </c>
      <c r="G359" s="236">
        <f xml:space="preserve"> IFERROR( INPUTS│Outcomes!G294 / INPUTS│Outcomes!G270, 0 )</f>
        <v>0</v>
      </c>
      <c r="H359" s="236">
        <f xml:space="preserve"> IFERROR( INPUTS│Outcomes!H294 / INPUTS│Outcomes!H270, 0 )</f>
        <v>0.66666666666666663</v>
      </c>
      <c r="I359" s="236">
        <f xml:space="preserve"> IFERROR( INPUTS│Outcomes!I294 / INPUTS│Outcomes!I270, 0 )</f>
        <v>0.70370370370370372</v>
      </c>
      <c r="J359" s="236">
        <f xml:space="preserve"> IFERROR( INPUTS│Outcomes!J294 / INPUTS│Outcomes!J270, 0 )</f>
        <v>0.69230769230769229</v>
      </c>
      <c r="K359" s="236">
        <f xml:space="preserve"> IFERROR( INPUTS│Outcomes!K294 / INPUTS│Outcomes!K270, 0 )</f>
        <v>0.7407407407407407</v>
      </c>
      <c r="L359" s="236">
        <f xml:space="preserve"> IFERROR( INPUTS│Outcomes!L294 / INPUTS│Outcomes!L270, 0 )</f>
        <v>0.59259259259259256</v>
      </c>
    </row>
    <row r="360" spans="3:12" outlineLevel="1" x14ac:dyDescent="0.3">
      <c r="C360" s="8" t="s">
        <v>100</v>
      </c>
      <c r="D360" s="11" t="s">
        <v>133</v>
      </c>
      <c r="E360" s="236">
        <f xml:space="preserve"> IFERROR( INPUTS│Outcomes!E295 / INPUTS│Outcomes!E271, 0 )</f>
        <v>0</v>
      </c>
      <c r="F360" s="236">
        <f xml:space="preserve"> IFERROR( INPUTS│Outcomes!F295 / INPUTS│Outcomes!F271, 0 )</f>
        <v>0</v>
      </c>
      <c r="G360" s="236">
        <f xml:space="preserve"> IFERROR( INPUTS│Outcomes!G295 / INPUTS│Outcomes!G271, 0 )</f>
        <v>0</v>
      </c>
      <c r="H360" s="236">
        <f xml:space="preserve"> IFERROR( INPUTS│Outcomes!H295 / INPUTS│Outcomes!H271, 0 )</f>
        <v>0.8125</v>
      </c>
      <c r="I360" s="236">
        <f xml:space="preserve"> IFERROR( INPUTS│Outcomes!I295 / INPUTS│Outcomes!I271, 0 )</f>
        <v>0.76666666666666672</v>
      </c>
      <c r="J360" s="236">
        <f xml:space="preserve"> IFERROR( INPUTS│Outcomes!J295 / INPUTS│Outcomes!J271, 0 )</f>
        <v>0.77419354838709675</v>
      </c>
      <c r="K360" s="236">
        <f xml:space="preserve"> IFERROR( INPUTS│Outcomes!K295 / INPUTS│Outcomes!K271, 0 )</f>
        <v>0.77419354838709675</v>
      </c>
      <c r="L360" s="236">
        <f xml:space="preserve"> IFERROR( INPUTS│Outcomes!L295 / INPUTS│Outcomes!L271, 0 )</f>
        <v>0.78125</v>
      </c>
    </row>
    <row r="361" spans="3:12" outlineLevel="1" x14ac:dyDescent="0.3">
      <c r="C361" s="8" t="s">
        <v>102</v>
      </c>
      <c r="D361" s="11" t="s">
        <v>133</v>
      </c>
      <c r="E361" s="236">
        <f xml:space="preserve"> IFERROR( INPUTS│Outcomes!E296 / INPUTS│Outcomes!E272, 0 )</f>
        <v>0</v>
      </c>
      <c r="F361" s="236">
        <f xml:space="preserve"> IFERROR( INPUTS│Outcomes!F296 / INPUTS│Outcomes!F272, 0 )</f>
        <v>0</v>
      </c>
      <c r="G361" s="236">
        <f xml:space="preserve"> IFERROR( INPUTS│Outcomes!G296 / INPUTS│Outcomes!G272, 0 )</f>
        <v>0</v>
      </c>
      <c r="H361" s="236">
        <f xml:space="preserve"> IFERROR( INPUTS│Outcomes!H296 / INPUTS│Outcomes!H272, 0 )</f>
        <v>0.81818181818181823</v>
      </c>
      <c r="I361" s="236">
        <f xml:space="preserve"> IFERROR( INPUTS│Outcomes!I296 / INPUTS│Outcomes!I272, 0 )</f>
        <v>0.81818181818181823</v>
      </c>
      <c r="J361" s="236">
        <f xml:space="preserve"> IFERROR( INPUTS│Outcomes!J296 / INPUTS│Outcomes!J272, 0 )</f>
        <v>0.72727272727272729</v>
      </c>
      <c r="K361" s="236">
        <f xml:space="preserve"> IFERROR( INPUTS│Outcomes!K296 / INPUTS│Outcomes!K272, 0 )</f>
        <v>0.76666666666666672</v>
      </c>
      <c r="L361" s="236">
        <f xml:space="preserve"> IFERROR( INPUTS│Outcomes!L296 / INPUTS│Outcomes!L272, 0 )</f>
        <v>0.88235294117647056</v>
      </c>
    </row>
    <row r="362" spans="3:12" outlineLevel="1" x14ac:dyDescent="0.3">
      <c r="C362" s="8" t="s">
        <v>104</v>
      </c>
      <c r="D362" s="11" t="s">
        <v>133</v>
      </c>
      <c r="E362" s="236">
        <f xml:space="preserve"> IFERROR( INPUTS│Outcomes!E297 / INPUTS│Outcomes!E273, 0 )</f>
        <v>0</v>
      </c>
      <c r="F362" s="236">
        <f xml:space="preserve"> IFERROR( INPUTS│Outcomes!F297 / INPUTS│Outcomes!F273, 0 )</f>
        <v>0</v>
      </c>
      <c r="G362" s="236">
        <f xml:space="preserve"> IFERROR( INPUTS│Outcomes!G297 / INPUTS│Outcomes!G273, 0 )</f>
        <v>0</v>
      </c>
      <c r="H362" s="236">
        <f xml:space="preserve"> IFERROR( INPUTS│Outcomes!H297 / INPUTS│Outcomes!H273, 0 )</f>
        <v>0.8</v>
      </c>
      <c r="I362" s="236">
        <f xml:space="preserve"> IFERROR( INPUTS│Outcomes!I297 / INPUTS│Outcomes!I273, 0 )</f>
        <v>0.7</v>
      </c>
      <c r="J362" s="236">
        <f xml:space="preserve"> IFERROR( INPUTS│Outcomes!J297 / INPUTS│Outcomes!J273, 0 )</f>
        <v>0.7</v>
      </c>
      <c r="K362" s="236">
        <f xml:space="preserve"> IFERROR( INPUTS│Outcomes!K297 / INPUTS│Outcomes!K273, 0 )</f>
        <v>0.9</v>
      </c>
      <c r="L362" s="236">
        <f xml:space="preserve"> IFERROR( INPUTS│Outcomes!L297 / INPUTS│Outcomes!L273, 0 )</f>
        <v>0.7</v>
      </c>
    </row>
    <row r="363" spans="3:12" outlineLevel="1" x14ac:dyDescent="0.3">
      <c r="C363" s="8" t="s">
        <v>106</v>
      </c>
      <c r="D363" s="11" t="s">
        <v>133</v>
      </c>
      <c r="E363" s="236">
        <f xml:space="preserve"> IFERROR( INPUTS│Outcomes!E298 / INPUTS│Outcomes!E274, 0 )</f>
        <v>0</v>
      </c>
      <c r="F363" s="236">
        <f xml:space="preserve"> IFERROR( INPUTS│Outcomes!F298 / INPUTS│Outcomes!F274, 0 )</f>
        <v>0</v>
      </c>
      <c r="G363" s="236">
        <f xml:space="preserve"> IFERROR( INPUTS│Outcomes!G298 / INPUTS│Outcomes!G274, 0 )</f>
        <v>0</v>
      </c>
      <c r="H363" s="236">
        <f xml:space="preserve"> IFERROR( INPUTS│Outcomes!H298 / INPUTS│Outcomes!H274, 0 )</f>
        <v>0.5714285714285714</v>
      </c>
      <c r="I363" s="236">
        <f xml:space="preserve"> IFERROR( INPUTS│Outcomes!I298 / INPUTS│Outcomes!I274, 0 )</f>
        <v>0.66666666666666663</v>
      </c>
      <c r="J363" s="236">
        <f xml:space="preserve"> IFERROR( INPUTS│Outcomes!J298 / INPUTS│Outcomes!J274, 0 )</f>
        <v>0.42857142857142855</v>
      </c>
      <c r="K363" s="236">
        <f xml:space="preserve"> IFERROR( INPUTS│Outcomes!K298 / INPUTS│Outcomes!K274, 0 )</f>
        <v>0.42857142857142855</v>
      </c>
      <c r="L363" s="236">
        <f xml:space="preserve"> IFERROR( INPUTS│Outcomes!L298 / INPUTS│Outcomes!L274, 0 )</f>
        <v>0.66666666666666663</v>
      </c>
    </row>
    <row r="364" spans="3:12" outlineLevel="1" x14ac:dyDescent="0.3">
      <c r="C364" s="8" t="s">
        <v>108</v>
      </c>
      <c r="D364" s="11" t="s">
        <v>133</v>
      </c>
      <c r="E364" s="236">
        <f xml:space="preserve"> IFERROR( INPUTS│Outcomes!E300 / INPUTS│Outcomes!E276, 0 )</f>
        <v>0</v>
      </c>
      <c r="F364" s="236">
        <f xml:space="preserve"> IFERROR( INPUTS│Outcomes!F300 / INPUTS│Outcomes!F276, 0 )</f>
        <v>0</v>
      </c>
      <c r="G364" s="236">
        <f xml:space="preserve"> IFERROR( INPUTS│Outcomes!G300 / INPUTS│Outcomes!G276, 0 )</f>
        <v>0</v>
      </c>
      <c r="H364" s="236">
        <f xml:space="preserve"> IFERROR( INPUTS│Outcomes!H300 / INPUTS│Outcomes!H276, 0 )</f>
        <v>0.84615384615384615</v>
      </c>
      <c r="I364" s="236">
        <f xml:space="preserve"> IFERROR( INPUTS│Outcomes!I300 / INPUTS│Outcomes!I276, 0 )</f>
        <v>0.84615384615384615</v>
      </c>
      <c r="J364" s="236">
        <f xml:space="preserve"> IFERROR( INPUTS│Outcomes!J300 / INPUTS│Outcomes!J276, 0 )</f>
        <v>0.7</v>
      </c>
      <c r="K364" s="236">
        <f xml:space="preserve"> IFERROR( INPUTS│Outcomes!K300 / INPUTS│Outcomes!K276, 0 )</f>
        <v>0.8</v>
      </c>
      <c r="L364" s="236">
        <f xml:space="preserve"> IFERROR( INPUTS│Outcomes!L300 / INPUTS│Outcomes!L276, 0 )</f>
        <v>0.75</v>
      </c>
    </row>
    <row r="365" spans="3:12" outlineLevel="1" x14ac:dyDescent="0.3">
      <c r="C365" s="8" t="s">
        <v>112</v>
      </c>
      <c r="D365" s="11" t="s">
        <v>133</v>
      </c>
      <c r="E365" s="236">
        <f xml:space="preserve"> IFERROR( INPUTS│Outcomes!E301 / INPUTS│Outcomes!E277, 0 )</f>
        <v>0</v>
      </c>
      <c r="F365" s="236">
        <f xml:space="preserve"> IFERROR( INPUTS│Outcomes!F301 / INPUTS│Outcomes!F277, 0 )</f>
        <v>0</v>
      </c>
      <c r="G365" s="236">
        <f xml:space="preserve"> IFERROR( INPUTS│Outcomes!G301 / INPUTS│Outcomes!G277, 0 )</f>
        <v>0</v>
      </c>
      <c r="H365" s="236">
        <f xml:space="preserve"> IFERROR( INPUTS│Outcomes!H301 / INPUTS│Outcomes!H277, 0 )</f>
        <v>0.40740740740740738</v>
      </c>
      <c r="I365" s="236">
        <f xml:space="preserve"> IFERROR( INPUTS│Outcomes!I301 / INPUTS│Outcomes!I277, 0 )</f>
        <v>0.32142857142857145</v>
      </c>
      <c r="J365" s="236">
        <f xml:space="preserve"> IFERROR( INPUTS│Outcomes!J301 / INPUTS│Outcomes!J277, 0 )</f>
        <v>0.35714285714285715</v>
      </c>
      <c r="K365" s="236">
        <f xml:space="preserve"> IFERROR( INPUTS│Outcomes!K301 / INPUTS│Outcomes!K277, 0 )</f>
        <v>0.32142857142857145</v>
      </c>
      <c r="L365" s="236">
        <f xml:space="preserve"> IFERROR( INPUTS│Outcomes!L301 / INPUTS│Outcomes!L277, 0 )</f>
        <v>0.5</v>
      </c>
    </row>
    <row r="366" spans="3:12" outlineLevel="1" x14ac:dyDescent="0.3">
      <c r="C366" s="8" t="s">
        <v>114</v>
      </c>
      <c r="D366" s="11" t="s">
        <v>133</v>
      </c>
      <c r="E366" s="236">
        <f xml:space="preserve"> IFERROR( INPUTS│Outcomes!E302 / INPUTS│Outcomes!E278, 0 )</f>
        <v>0</v>
      </c>
      <c r="F366" s="236">
        <f xml:space="preserve"> IFERROR( INPUTS│Outcomes!F302 / INPUTS│Outcomes!F278, 0 )</f>
        <v>0</v>
      </c>
      <c r="G366" s="236">
        <f xml:space="preserve"> IFERROR( INPUTS│Outcomes!G302 / INPUTS│Outcomes!G278, 0 )</f>
        <v>0</v>
      </c>
      <c r="H366" s="236">
        <f xml:space="preserve"> IFERROR( INPUTS│Outcomes!H302 / INPUTS│Outcomes!H278, 0 )</f>
        <v>0.66666666666666663</v>
      </c>
      <c r="I366" s="236">
        <f xml:space="preserve"> IFERROR( INPUTS│Outcomes!I302 / INPUTS│Outcomes!I278, 0 )</f>
        <v>0.66666666666666663</v>
      </c>
      <c r="J366" s="236">
        <f xml:space="preserve"> IFERROR( INPUTS│Outcomes!J302 / INPUTS│Outcomes!J278, 0 )</f>
        <v>0.46666666666666667</v>
      </c>
      <c r="K366" s="236">
        <f xml:space="preserve"> IFERROR( INPUTS│Outcomes!K302 / INPUTS│Outcomes!K278, 0 )</f>
        <v>0.66666666666666663</v>
      </c>
      <c r="L366" s="236">
        <f xml:space="preserve"> IFERROR( INPUTS│Outcomes!L302 / INPUTS│Outcomes!L278, 0 )</f>
        <v>0.73333333333333328</v>
      </c>
    </row>
    <row r="367" spans="3:12" outlineLevel="1" x14ac:dyDescent="0.3">
      <c r="C367" s="8" t="s">
        <v>110</v>
      </c>
      <c r="D367" s="11" t="s">
        <v>133</v>
      </c>
      <c r="E367" s="236">
        <f xml:space="preserve"> IFERROR( INPUTS│Outcomes!E303 / INPUTS│Outcomes!E279, 0 )</f>
        <v>0</v>
      </c>
      <c r="F367" s="236">
        <f xml:space="preserve"> IFERROR( INPUTS│Outcomes!F303 / INPUTS│Outcomes!F279, 0 )</f>
        <v>0</v>
      </c>
      <c r="G367" s="236">
        <f xml:space="preserve"> IFERROR( INPUTS│Outcomes!G303 / INPUTS│Outcomes!G279, 0 )</f>
        <v>0</v>
      </c>
      <c r="H367" s="236">
        <f xml:space="preserve"> IFERROR( INPUTS│Outcomes!H303 / INPUTS│Outcomes!H279, 0 )</f>
        <v>0.76190476190476186</v>
      </c>
      <c r="I367" s="236">
        <f xml:space="preserve"> IFERROR( INPUTS│Outcomes!I303 / INPUTS│Outcomes!I279, 0 )</f>
        <v>0.7142857142857143</v>
      </c>
      <c r="J367" s="236">
        <f xml:space="preserve"> IFERROR( INPUTS│Outcomes!J303 / INPUTS│Outcomes!J279, 0 )</f>
        <v>0.76190476190476186</v>
      </c>
      <c r="K367" s="236">
        <f xml:space="preserve"> IFERROR( INPUTS│Outcomes!K303 / INPUTS│Outcomes!K279, 0 )</f>
        <v>0.7142857142857143</v>
      </c>
      <c r="L367" s="236">
        <f xml:space="preserve"> IFERROR( INPUTS│Outcomes!L303 / INPUTS│Outcomes!L279, 0 )</f>
        <v>0.7142857142857143</v>
      </c>
    </row>
    <row r="368" spans="3:12" outlineLevel="1" x14ac:dyDescent="0.3"/>
    <row r="369" spans="2:19" outlineLevel="1" x14ac:dyDescent="0.3">
      <c r="C369" s="2" t="s">
        <v>424</v>
      </c>
      <c r="D369" s="13" t="s">
        <v>133</v>
      </c>
      <c r="E369" s="61">
        <f xml:space="preserve"> IFERROR( INPUTS│Outcomes!E305 / INPUTS│Outcomes!E281, 0 )</f>
        <v>0</v>
      </c>
      <c r="F369" s="61">
        <f xml:space="preserve"> IFERROR( INPUTS│Outcomes!F305 / INPUTS│Outcomes!F281, 0 )</f>
        <v>0</v>
      </c>
      <c r="G369" s="61">
        <f xml:space="preserve"> IFERROR( INPUTS│Outcomes!G305 / INPUTS│Outcomes!G281, 0 )</f>
        <v>0</v>
      </c>
      <c r="H369" s="61">
        <f xml:space="preserve"> IFERROR( INPUTS│Outcomes!H305 / INPUTS│Outcomes!H281, 0 )</f>
        <v>0.69329896907216493</v>
      </c>
      <c r="I369" s="61">
        <f xml:space="preserve"> IFERROR( INPUTS│Outcomes!I305 / INPUTS│Outcomes!I281, 0 )</f>
        <v>0.67929292929292928</v>
      </c>
      <c r="J369" s="61">
        <f xml:space="preserve"> IFERROR( INPUTS│Outcomes!J305 / INPUTS│Outcomes!J281, 0 )</f>
        <v>0.66503667481662587</v>
      </c>
      <c r="K369" s="61">
        <f xml:space="preserve"> IFERROR( INPUTS│Outcomes!K305 / INPUTS│Outcomes!K281, 0 )</f>
        <v>0.63495575221238942</v>
      </c>
      <c r="L369" s="61">
        <f xml:space="preserve"> IFERROR( INPUTS│Outcomes!L305 / INPUTS│Outcomes!L281, 0 )</f>
        <v>0.6410428305400373</v>
      </c>
    </row>
    <row r="371" spans="2:19" ht="13.5" x14ac:dyDescent="0.35">
      <c r="B371" s="9" t="s">
        <v>791</v>
      </c>
      <c r="C371" s="9"/>
      <c r="D371" s="9"/>
      <c r="E371" s="9"/>
      <c r="F371" s="9"/>
      <c r="G371" s="9"/>
      <c r="H371" s="9"/>
      <c r="I371" s="9"/>
      <c r="J371" s="9"/>
      <c r="K371" s="9"/>
      <c r="L371" s="9"/>
      <c r="M371" s="9"/>
      <c r="N371" s="9"/>
      <c r="O371" s="9"/>
      <c r="P371" s="9"/>
      <c r="Q371" s="9"/>
      <c r="R371" s="9"/>
      <c r="S371" s="9"/>
    </row>
    <row r="372" spans="2:19" outlineLevel="1" x14ac:dyDescent="0.3"/>
    <row r="373" spans="2:19" ht="13.5" outlineLevel="1" x14ac:dyDescent="0.35">
      <c r="B373" s="31" t="s">
        <v>581</v>
      </c>
      <c r="C373" s="31"/>
      <c r="D373" s="31"/>
      <c r="E373" s="31"/>
      <c r="F373" s="31"/>
      <c r="G373" s="31"/>
      <c r="H373" s="31"/>
      <c r="I373" s="31"/>
      <c r="J373" s="31"/>
      <c r="K373" s="31"/>
      <c r="L373" s="31"/>
      <c r="M373" s="31"/>
      <c r="N373" s="31"/>
      <c r="O373" s="31"/>
      <c r="P373" s="31"/>
      <c r="Q373" s="31"/>
      <c r="R373" s="31"/>
      <c r="S373" s="31"/>
    </row>
    <row r="374" spans="2:19" outlineLevel="1" x14ac:dyDescent="0.3">
      <c r="N374" s="65" t="s">
        <v>662</v>
      </c>
    </row>
    <row r="375" spans="2:19" outlineLevel="1" x14ac:dyDescent="0.3">
      <c r="C375" s="8" t="s">
        <v>80</v>
      </c>
      <c r="D375" s="11" t="s">
        <v>127</v>
      </c>
      <c r="E375" s="229">
        <f xml:space="preserve"> SUMIF( INPUTS│Outcomes!$C$311:$C$403, $C375, INPUTS│Outcomes!E$311:E$403 )</f>
        <v>0</v>
      </c>
      <c r="F375" s="229">
        <f xml:space="preserve"> SUMIF( INPUTS│Outcomes!$C$311:$C$403, $C375, INPUTS│Outcomes!F$311:F$403 )</f>
        <v>0</v>
      </c>
      <c r="G375" s="229">
        <f xml:space="preserve"> SUMIF( INPUTS│Outcomes!$C$311:$C$403, $C375, INPUTS│Outcomes!G$311:G$403 )</f>
        <v>0</v>
      </c>
      <c r="H375" s="229">
        <f xml:space="preserve"> SUMIF( INPUTS│Outcomes!$C$311:$C$403, $C375, INPUTS│Outcomes!H$311:H$403 )</f>
        <v>11.026</v>
      </c>
      <c r="I375" s="229">
        <f xml:space="preserve"> SUMIF( INPUTS│Outcomes!$C$311:$C$403, $C375, INPUTS│Outcomes!I$311:I$403 )</f>
        <v>5.3196000000000003</v>
      </c>
      <c r="J375" s="229">
        <f xml:space="preserve"> SUMIF( INPUTS│Outcomes!$C$311:$C$403, $C375, INPUTS│Outcomes!J$311:J$403 )</f>
        <v>13.358999999999998</v>
      </c>
      <c r="K375" s="229">
        <f xml:space="preserve"> SUMIF( INPUTS│Outcomes!$C$311:$C$403, $C375, INPUTS│Outcomes!K$311:K$403 )</f>
        <v>12.1914</v>
      </c>
      <c r="L375" s="229">
        <f xml:space="preserve"> SUMIF( INPUTS│Outcomes!$C$311:$C$403, $C375, INPUTS│Outcomes!L$311:L$403 )</f>
        <v>-8.2297999999999973</v>
      </c>
      <c r="N375" s="229">
        <f xml:space="preserve"> AVERAGE( H375:L375 )</f>
        <v>6.7332400000000003</v>
      </c>
    </row>
    <row r="376" spans="2:19" outlineLevel="1" x14ac:dyDescent="0.3">
      <c r="C376" s="8" t="s">
        <v>82</v>
      </c>
      <c r="D376" s="11" t="s">
        <v>127</v>
      </c>
      <c r="E376" s="229">
        <f xml:space="preserve"> SUMIF( INPUTS│Outcomes!$C$311:$C$403, $C376, INPUTS│Outcomes!E$311:E$403 )</f>
        <v>0</v>
      </c>
      <c r="F376" s="229">
        <f xml:space="preserve"> SUMIF( INPUTS│Outcomes!$C$311:$C$403, $C376, INPUTS│Outcomes!F$311:F$403 )</f>
        <v>0</v>
      </c>
      <c r="G376" s="229">
        <f xml:space="preserve"> SUMIF( INPUTS│Outcomes!$C$311:$C$403, $C376, INPUTS│Outcomes!G$311:G$403 )</f>
        <v>0</v>
      </c>
      <c r="H376" s="229">
        <f xml:space="preserve"> SUMIF( INPUTS│Outcomes!$C$311:$C$403, $C376, INPUTS│Outcomes!H$311:H$403 )</f>
        <v>0.98699999999999999</v>
      </c>
      <c r="I376" s="229">
        <f xml:space="preserve"> SUMIF( INPUTS│Outcomes!$C$311:$C$403, $C376, INPUTS│Outcomes!I$311:I$403 )</f>
        <v>2.8</v>
      </c>
      <c r="J376" s="229">
        <f xml:space="preserve"> SUMIF( INPUTS│Outcomes!$C$311:$C$403, $C376, INPUTS│Outcomes!J$311:J$403 )</f>
        <v>-3.379</v>
      </c>
      <c r="K376" s="229">
        <f xml:space="preserve"> SUMIF( INPUTS│Outcomes!$C$311:$C$403, $C376, INPUTS│Outcomes!K$311:K$403 )</f>
        <v>-0.3550000000000002</v>
      </c>
      <c r="L376" s="229">
        <f xml:space="preserve"> SUMIF( INPUTS│Outcomes!$C$311:$C$403, $C376, INPUTS│Outcomes!L$311:L$403 )</f>
        <v>-3.1915000000000004</v>
      </c>
      <c r="N376" s="229">
        <f t="shared" ref="N376:N393" si="86" xml:space="preserve"> AVERAGE( H376:L376 )</f>
        <v>-0.62770000000000015</v>
      </c>
    </row>
    <row r="377" spans="2:19" outlineLevel="1" x14ac:dyDescent="0.3">
      <c r="C377" s="8" t="s">
        <v>85</v>
      </c>
      <c r="D377" s="11" t="s">
        <v>127</v>
      </c>
      <c r="E377" s="229">
        <f xml:space="preserve"> SUMIF( INPUTS│Outcomes!$C$311:$C$403, $C377, INPUTS│Outcomes!E$311:E$403 ) + SUMIF( INPUTS│Outcomes!$C$311:$C$403, "DVW", INPUTS│Outcomes!E$311:E$403 )</f>
        <v>0</v>
      </c>
      <c r="F377" s="229">
        <f xml:space="preserve"> SUMIF( INPUTS│Outcomes!$C$311:$C$403, $C377, INPUTS│Outcomes!F$311:F$403 ) + SUMIF( INPUTS│Outcomes!$C$311:$C$403, "DVW", INPUTS│Outcomes!F$311:F$403 )</f>
        <v>0</v>
      </c>
      <c r="G377" s="229">
        <f xml:space="preserve"> SUMIF( INPUTS│Outcomes!$C$311:$C$403, $C377, INPUTS│Outcomes!G$311:G$403 ) + SUMIF( INPUTS│Outcomes!$C$311:$C$403, "DVW", INPUTS│Outcomes!G$311:G$403 )</f>
        <v>0</v>
      </c>
      <c r="H377" s="229">
        <f xml:space="preserve"> SUMIF( INPUTS│Outcomes!$C$311:$C$403, $C377, INPUTS│Outcomes!H$311:H$403 ) + SUMIF( INPUTS│Outcomes!$C$311:$C$403, "DVW", INPUTS│Outcomes!H$311:H$403 )</f>
        <v>2.5425160000000002E-2</v>
      </c>
      <c r="I377" s="229">
        <f xml:space="preserve"> SUMIF( INPUTS│Outcomes!$C$311:$C$403, $C377, INPUTS│Outcomes!I$311:I$403 ) + SUMIF( INPUTS│Outcomes!$C$311:$C$403, "DVW", INPUTS│Outcomes!I$311:I$403 )</f>
        <v>-3.7756720000000001E-2</v>
      </c>
      <c r="J377" s="229">
        <f xml:space="preserve"> SUMIF( INPUTS│Outcomes!$C$311:$C$403, $C377, INPUTS│Outcomes!J$311:J$403 ) + SUMIF( INPUTS│Outcomes!$C$311:$C$403, "DVW", INPUTS│Outcomes!J$311:J$403 )</f>
        <v>1.4644999999999998E-2</v>
      </c>
      <c r="K377" s="229">
        <f xml:space="preserve"> SUMIF( INPUTS│Outcomes!$C$311:$C$403, $C377, INPUTS│Outcomes!K$311:K$403 ) + SUMIF( INPUTS│Outcomes!$C$311:$C$403, "DVW", INPUTS│Outcomes!K$311:K$403 )</f>
        <v>-0.42946659999999998</v>
      </c>
      <c r="L377" s="229">
        <f xml:space="preserve"> SUMIF( INPUTS│Outcomes!$C$311:$C$403, $C377, INPUTS│Outcomes!L$311:L$403 ) + SUMIF( INPUTS│Outcomes!$C$311:$C$403, "DVW", INPUTS│Outcomes!L$311:L$403 )</f>
        <v>-0.44798500000000002</v>
      </c>
      <c r="N377" s="229">
        <f t="shared" si="86"/>
        <v>-0.17502763199999999</v>
      </c>
    </row>
    <row r="378" spans="2:19" outlineLevel="1" x14ac:dyDescent="0.3">
      <c r="C378" s="8" t="s">
        <v>87</v>
      </c>
      <c r="D378" s="11" t="s">
        <v>127</v>
      </c>
      <c r="E378" s="229">
        <f xml:space="preserve"> SUMIF( INPUTS│Outcomes!$C$311:$C$403, $C378, INPUTS│Outcomes!E$311:E$403 )</f>
        <v>0</v>
      </c>
      <c r="F378" s="229">
        <f xml:space="preserve"> SUMIF( INPUTS│Outcomes!$C$311:$C$403, $C378, INPUTS│Outcomes!F$311:F$403 )</f>
        <v>0</v>
      </c>
      <c r="G378" s="229">
        <f xml:space="preserve"> SUMIF( INPUTS│Outcomes!$C$311:$C$403, $C378, INPUTS│Outcomes!G$311:G$403 )</f>
        <v>0</v>
      </c>
      <c r="H378" s="229">
        <f xml:space="preserve"> SUMIF( INPUTS│Outcomes!$C$311:$C$403, $C378, INPUTS│Outcomes!H$311:H$403 )</f>
        <v>4.4949999999999992</v>
      </c>
      <c r="I378" s="229">
        <f xml:space="preserve"> SUMIF( INPUTS│Outcomes!$C$311:$C$403, $C378, INPUTS│Outcomes!I$311:I$403 )</f>
        <v>4.9109999999999996</v>
      </c>
      <c r="J378" s="229">
        <f xml:space="preserve"> SUMIF( INPUTS│Outcomes!$C$311:$C$403, $C378, INPUTS│Outcomes!J$311:J$403 )</f>
        <v>3.7772999999999999</v>
      </c>
      <c r="K378" s="229">
        <f xml:space="preserve"> SUMIF( INPUTS│Outcomes!$C$311:$C$403, $C378, INPUTS│Outcomes!K$311:K$403 )</f>
        <v>-3.1887999999999996</v>
      </c>
      <c r="L378" s="229">
        <f xml:space="preserve"> SUMIF( INPUTS│Outcomes!$C$311:$C$403, $C378, INPUTS│Outcomes!L$311:L$403 )</f>
        <v>-0.18975000000000031</v>
      </c>
      <c r="N378" s="229">
        <f t="shared" si="86"/>
        <v>1.9609499999999997</v>
      </c>
    </row>
    <row r="379" spans="2:19" outlineLevel="1" x14ac:dyDescent="0.3">
      <c r="C379" s="8" t="s">
        <v>89</v>
      </c>
      <c r="D379" s="11" t="s">
        <v>127</v>
      </c>
      <c r="E379" s="229">
        <f xml:space="preserve"> SUMIF( INPUTS│Outcomes!$C$311:$C$403, $C379, INPUTS│Outcomes!E$311:E$403 ) + SUMIF( INPUTS│Outcomes!$C$311:$C$403, "SVT", INPUTS│Outcomes!E$311:E$403 )</f>
        <v>0</v>
      </c>
      <c r="F379" s="229">
        <f xml:space="preserve"> SUMIF( INPUTS│Outcomes!$C$311:$C$403, $C379, INPUTS│Outcomes!F$311:F$403 ) + SUMIF( INPUTS│Outcomes!$C$311:$C$403, "SVT", INPUTS│Outcomes!F$311:F$403 )</f>
        <v>0</v>
      </c>
      <c r="G379" s="229">
        <f xml:space="preserve"> SUMIF( INPUTS│Outcomes!$C$311:$C$403, $C379, INPUTS│Outcomes!G$311:G$403 ) + SUMIF( INPUTS│Outcomes!$C$311:$C$403, "SVT", INPUTS│Outcomes!G$311:G$403 )</f>
        <v>0</v>
      </c>
      <c r="H379" s="229">
        <f xml:space="preserve"> SUMIF( INPUTS│Outcomes!$C$311:$C$403, $C379, INPUTS│Outcomes!H$311:H$403 ) + SUMIF( INPUTS│Outcomes!$C$311:$C$403, "SVT", INPUTS│Outcomes!H$311:H$403 )</f>
        <v>18.786661519999999</v>
      </c>
      <c r="I379" s="229">
        <f xml:space="preserve"> SUMIF( INPUTS│Outcomes!$C$311:$C$403, $C379, INPUTS│Outcomes!I$311:I$403 ) + SUMIF( INPUTS│Outcomes!$C$311:$C$403, "SVT", INPUTS│Outcomes!I$311:I$403 )</f>
        <v>38.366010000001623</v>
      </c>
      <c r="J379" s="229">
        <f xml:space="preserve"> SUMIF( INPUTS│Outcomes!$C$311:$C$403, $C379, INPUTS│Outcomes!J$311:J$403 ) + SUMIF( INPUTS│Outcomes!$C$311:$C$403, "SVT", INPUTS│Outcomes!J$311:J$403 )</f>
        <v>58.01001500000001</v>
      </c>
      <c r="K379" s="229">
        <f xml:space="preserve"> SUMIF( INPUTS│Outcomes!$C$311:$C$403, $C379, INPUTS│Outcomes!K$311:K$403 ) + SUMIF( INPUTS│Outcomes!$C$311:$C$403, "SVT", INPUTS│Outcomes!K$311:K$403 )</f>
        <v>-3.3028659999999999</v>
      </c>
      <c r="L379" s="229">
        <f xml:space="preserve"> SUMIF( INPUTS│Outcomes!$C$311:$C$403, $C379, INPUTS│Outcomes!L$311:L$403 ) + SUMIF( INPUTS│Outcomes!$C$311:$C$403, "SVT", INPUTS│Outcomes!L$311:L$403 )</f>
        <v>29.512222000000001</v>
      </c>
      <c r="N379" s="229">
        <f t="shared" si="86"/>
        <v>28.274408504000327</v>
      </c>
    </row>
    <row r="380" spans="2:19" outlineLevel="1" x14ac:dyDescent="0.3">
      <c r="C380" s="8" t="s">
        <v>91</v>
      </c>
      <c r="D380" s="11" t="s">
        <v>127</v>
      </c>
      <c r="E380" s="229">
        <f xml:space="preserve"> SUMIF( INPUTS│Outcomes!$C$311:$C$403, $C380, INPUTS│Outcomes!E$311:E$403 )</f>
        <v>0</v>
      </c>
      <c r="F380" s="229">
        <f xml:space="preserve"> SUMIF( INPUTS│Outcomes!$C$311:$C$403, $C380, INPUTS│Outcomes!F$311:F$403 )</f>
        <v>0</v>
      </c>
      <c r="G380" s="229">
        <f xml:space="preserve"> SUMIF( INPUTS│Outcomes!$C$311:$C$403, $C380, INPUTS│Outcomes!G$311:G$403 )</f>
        <v>0</v>
      </c>
      <c r="H380" s="229">
        <f xml:space="preserve"> SUMIF( INPUTS│Outcomes!$C$311:$C$403, $C380, INPUTS│Outcomes!H$311:H$403 )</f>
        <v>0.206067</v>
      </c>
      <c r="I380" s="229">
        <f xml:space="preserve"> SUMIF( INPUTS│Outcomes!$C$311:$C$403, $C380, INPUTS│Outcomes!I$311:I$403 )</f>
        <v>1.9954000000000001</v>
      </c>
      <c r="J380" s="229">
        <f xml:space="preserve"> SUMIF( INPUTS│Outcomes!$C$311:$C$403, $C380, INPUTS│Outcomes!J$311:J$403 )</f>
        <v>6.1699999999999644E-2</v>
      </c>
      <c r="K380" s="229">
        <f xml:space="preserve"> SUMIF( INPUTS│Outcomes!$C$311:$C$403, $C380, INPUTS│Outcomes!K$311:K$403 )</f>
        <v>4.1318000000000001</v>
      </c>
      <c r="L380" s="229">
        <f xml:space="preserve"> SUMIF( INPUTS│Outcomes!$C$311:$C$403, $C380, INPUTS│Outcomes!L$311:L$403 )</f>
        <v>2.03776</v>
      </c>
      <c r="N380" s="229">
        <f t="shared" si="86"/>
        <v>1.6865454</v>
      </c>
    </row>
    <row r="381" spans="2:19" outlineLevel="1" x14ac:dyDescent="0.3">
      <c r="C381" s="8" t="s">
        <v>94</v>
      </c>
      <c r="D381" s="11" t="s">
        <v>127</v>
      </c>
      <c r="E381" s="229">
        <f xml:space="preserve"> SUMIF( INPUTS│Outcomes!$C$311:$C$403, $C381, INPUTS│Outcomes!E$311:E$403 )</f>
        <v>0</v>
      </c>
      <c r="F381" s="229">
        <f xml:space="preserve"> SUMIF( INPUTS│Outcomes!$C$311:$C$403, $C381, INPUTS│Outcomes!F$311:F$403 )</f>
        <v>0</v>
      </c>
      <c r="G381" s="229">
        <f xml:space="preserve"> SUMIF( INPUTS│Outcomes!$C$311:$C$403, $C381, INPUTS│Outcomes!G$311:G$403 )</f>
        <v>0</v>
      </c>
      <c r="H381" s="229">
        <f xml:space="preserve"> SUMIF( INPUTS│Outcomes!$C$311:$C$403, $C381, INPUTS│Outcomes!H$311:H$403 )</f>
        <v>-1.4575</v>
      </c>
      <c r="I381" s="229">
        <f xml:space="preserve"> SUMIF( INPUTS│Outcomes!$C$311:$C$403, $C381, INPUTS│Outcomes!I$311:I$403 )</f>
        <v>0</v>
      </c>
      <c r="J381" s="229">
        <f xml:space="preserve"> SUMIF( INPUTS│Outcomes!$C$311:$C$403, $C381, INPUTS│Outcomes!J$311:J$403 )</f>
        <v>-0.28701500000000002</v>
      </c>
      <c r="K381" s="229">
        <f xml:space="preserve"> SUMIF( INPUTS│Outcomes!$C$311:$C$403, $C381, INPUTS│Outcomes!K$311:K$403 )</f>
        <v>-0.34600000000000009</v>
      </c>
      <c r="L381" s="229">
        <f xml:space="preserve"> SUMIF( INPUTS│Outcomes!$C$311:$C$403, $C381, INPUTS│Outcomes!L$311:L$403 )</f>
        <v>-2.8005</v>
      </c>
      <c r="N381" s="229">
        <f t="shared" si="86"/>
        <v>-0.97820299999999993</v>
      </c>
    </row>
    <row r="382" spans="2:19" outlineLevel="1" x14ac:dyDescent="0.3">
      <c r="C382" s="8" t="s">
        <v>96</v>
      </c>
      <c r="D382" s="11" t="s">
        <v>127</v>
      </c>
      <c r="E382" s="229">
        <f xml:space="preserve"> SUMIF( INPUTS│Outcomes!$C$311:$C$403, $C382, INPUTS│Outcomes!E$311:E$403 )</f>
        <v>0</v>
      </c>
      <c r="F382" s="229">
        <f xml:space="preserve"> SUMIF( INPUTS│Outcomes!$C$311:$C$403, $C382, INPUTS│Outcomes!F$311:F$403 )</f>
        <v>0</v>
      </c>
      <c r="G382" s="229">
        <f xml:space="preserve"> SUMIF( INPUTS│Outcomes!$C$311:$C$403, $C382, INPUTS│Outcomes!G$311:G$403 )</f>
        <v>0</v>
      </c>
      <c r="H382" s="229">
        <f xml:space="preserve"> SUMIF( INPUTS│Outcomes!$C$311:$C$403, $C382, INPUTS│Outcomes!H$311:H$403 )</f>
        <v>-13.25</v>
      </c>
      <c r="I382" s="229">
        <f xml:space="preserve"> SUMIF( INPUTS│Outcomes!$C$311:$C$403, $C382, INPUTS│Outcomes!I$311:I$403 )</f>
        <v>-15.009399999999998</v>
      </c>
      <c r="J382" s="229">
        <f xml:space="preserve"> SUMIF( INPUTS│Outcomes!$C$311:$C$403, $C382, INPUTS│Outcomes!J$311:J$403 )</f>
        <v>-33.878999999999998</v>
      </c>
      <c r="K382" s="229">
        <f xml:space="preserve"> SUMIF( INPUTS│Outcomes!$C$311:$C$403, $C382, INPUTS│Outcomes!K$311:K$403 )</f>
        <v>-51.660940000000004</v>
      </c>
      <c r="L382" s="229">
        <f xml:space="preserve"> SUMIF( INPUTS│Outcomes!$C$311:$C$403, $C382, INPUTS│Outcomes!L$311:L$403 )</f>
        <v>-129.17614</v>
      </c>
      <c r="N382" s="229">
        <f t="shared" si="86"/>
        <v>-48.595095999999998</v>
      </c>
    </row>
    <row r="383" spans="2:19" outlineLevel="1" x14ac:dyDescent="0.3">
      <c r="C383" s="8" t="s">
        <v>98</v>
      </c>
      <c r="D383" s="11" t="s">
        <v>127</v>
      </c>
      <c r="E383" s="229">
        <f xml:space="preserve"> SUMIF( INPUTS│Outcomes!$C$311:$C$403, $C383, INPUTS│Outcomes!E$311:E$403 )</f>
        <v>0</v>
      </c>
      <c r="F383" s="229">
        <f xml:space="preserve"> SUMIF( INPUTS│Outcomes!$C$311:$C$403, $C383, INPUTS│Outcomes!F$311:F$403 )</f>
        <v>0</v>
      </c>
      <c r="G383" s="229">
        <f xml:space="preserve"> SUMIF( INPUTS│Outcomes!$C$311:$C$403, $C383, INPUTS│Outcomes!G$311:G$403 )</f>
        <v>0</v>
      </c>
      <c r="H383" s="229">
        <f xml:space="preserve"> SUMIF( INPUTS│Outcomes!$C$311:$C$403, $C383, INPUTS│Outcomes!H$311:H$403 )</f>
        <v>2.5159409999999984</v>
      </c>
      <c r="I383" s="229">
        <f xml:space="preserve"> SUMIF( INPUTS│Outcomes!$C$311:$C$403, $C383, INPUTS│Outcomes!I$311:I$403 )</f>
        <v>6.7186922625199967</v>
      </c>
      <c r="J383" s="229">
        <f xml:space="preserve"> SUMIF( INPUTS│Outcomes!$C$311:$C$403, $C383, INPUTS│Outcomes!J$311:J$403 )</f>
        <v>-7.0307000000000066</v>
      </c>
      <c r="K383" s="229">
        <f xml:space="preserve"> SUMIF( INPUTS│Outcomes!$C$311:$C$403, $C383, INPUTS│Outcomes!K$311:K$403 )</f>
        <v>19.245992000000001</v>
      </c>
      <c r="L383" s="229">
        <f xml:space="preserve"> SUMIF( INPUTS│Outcomes!$C$311:$C$403, $C383, INPUTS│Outcomes!L$311:L$403 )</f>
        <v>16.4666</v>
      </c>
      <c r="N383" s="229">
        <f t="shared" si="86"/>
        <v>7.5833050525039978</v>
      </c>
    </row>
    <row r="384" spans="2:19" outlineLevel="1" x14ac:dyDescent="0.3">
      <c r="C384" s="8" t="s">
        <v>100</v>
      </c>
      <c r="D384" s="11" t="s">
        <v>127</v>
      </c>
      <c r="E384" s="229">
        <f xml:space="preserve"> SUMIF( INPUTS│Outcomes!$C$311:$C$403, $C384, INPUTS│Outcomes!E$311:E$403 )</f>
        <v>0</v>
      </c>
      <c r="F384" s="229">
        <f xml:space="preserve"> SUMIF( INPUTS│Outcomes!$C$311:$C$403, $C384, INPUTS│Outcomes!F$311:F$403 )</f>
        <v>0</v>
      </c>
      <c r="G384" s="229">
        <f xml:space="preserve"> SUMIF( INPUTS│Outcomes!$C$311:$C$403, $C384, INPUTS│Outcomes!G$311:G$403 )</f>
        <v>0</v>
      </c>
      <c r="H384" s="229">
        <f xml:space="preserve"> SUMIF( INPUTS│Outcomes!$C$311:$C$403, $C384, INPUTS│Outcomes!H$311:H$403 )</f>
        <v>5.0981999999999994</v>
      </c>
      <c r="I384" s="229">
        <f xml:space="preserve"> SUMIF( INPUTS│Outcomes!$C$311:$C$403, $C384, INPUTS│Outcomes!I$311:I$403 )</f>
        <v>5.5019999999999998</v>
      </c>
      <c r="J384" s="229">
        <f xml:space="preserve"> SUMIF( INPUTS│Outcomes!$C$311:$C$403, $C384, INPUTS│Outcomes!J$311:J$403 )</f>
        <v>6.5773999999999999</v>
      </c>
      <c r="K384" s="229">
        <f xml:space="preserve"> SUMIF( INPUTS│Outcomes!$C$311:$C$403, $C384, INPUTS│Outcomes!K$311:K$403 )</f>
        <v>2.5018999999999996</v>
      </c>
      <c r="L384" s="229">
        <f xml:space="preserve"> SUMIF( INPUTS│Outcomes!$C$311:$C$403, $C384, INPUTS│Outcomes!L$311:L$403 )</f>
        <v>5.6942000000000004</v>
      </c>
      <c r="N384" s="229">
        <f t="shared" si="86"/>
        <v>5.0747400000000003</v>
      </c>
    </row>
    <row r="385" spans="2:19" outlineLevel="1" x14ac:dyDescent="0.3">
      <c r="C385" s="8" t="s">
        <v>102</v>
      </c>
      <c r="D385" s="11" t="s">
        <v>127</v>
      </c>
      <c r="E385" s="229">
        <f xml:space="preserve"> SUMIF( INPUTS│Outcomes!$C$311:$C$403, $C385, INPUTS│Outcomes!E$311:E$403 )</f>
        <v>0</v>
      </c>
      <c r="F385" s="229">
        <f xml:space="preserve"> SUMIF( INPUTS│Outcomes!$C$311:$C$403, $C385, INPUTS│Outcomes!F$311:F$403 )</f>
        <v>0</v>
      </c>
      <c r="G385" s="229">
        <f xml:space="preserve"> SUMIF( INPUTS│Outcomes!$C$311:$C$403, $C385, INPUTS│Outcomes!G$311:G$403 )</f>
        <v>0</v>
      </c>
      <c r="H385" s="229">
        <f xml:space="preserve"> SUMIF( INPUTS│Outcomes!$C$311:$C$403, $C385, INPUTS│Outcomes!H$311:H$403 )</f>
        <v>5.7396020999999999</v>
      </c>
      <c r="I385" s="229">
        <f xml:space="preserve"> SUMIF( INPUTS│Outcomes!$C$311:$C$403, $C385, INPUTS│Outcomes!I$311:I$403 )</f>
        <v>8.7749810000000004</v>
      </c>
      <c r="J385" s="229">
        <f xml:space="preserve"> SUMIF( INPUTS│Outcomes!$C$311:$C$403, $C385, INPUTS│Outcomes!J$311:J$403 )</f>
        <v>12.655020102499998</v>
      </c>
      <c r="K385" s="229">
        <f xml:space="preserve"> SUMIF( INPUTS│Outcomes!$C$311:$C$403, $C385, INPUTS│Outcomes!K$311:K$403 )</f>
        <v>8.8362200799999968</v>
      </c>
      <c r="L385" s="229">
        <f xml:space="preserve"> SUMIF( INPUTS│Outcomes!$C$311:$C$403, $C385, INPUTS│Outcomes!L$311:L$403 )</f>
        <v>27.379144000000004</v>
      </c>
      <c r="N385" s="229">
        <f t="shared" si="86"/>
        <v>12.6769934565</v>
      </c>
    </row>
    <row r="386" spans="2:19" outlineLevel="1" x14ac:dyDescent="0.3">
      <c r="C386" s="8" t="s">
        <v>104</v>
      </c>
      <c r="D386" s="11" t="s">
        <v>127</v>
      </c>
      <c r="E386" s="229">
        <f xml:space="preserve"> SUMIF( INPUTS│Outcomes!$C$311:$C$403, $C386, INPUTS│Outcomes!E$311:E$403 )</f>
        <v>0</v>
      </c>
      <c r="F386" s="229">
        <f xml:space="preserve"> SUMIF( INPUTS│Outcomes!$C$311:$C$403, $C386, INPUTS│Outcomes!F$311:F$403 )</f>
        <v>0</v>
      </c>
      <c r="G386" s="229">
        <f xml:space="preserve"> SUMIF( INPUTS│Outcomes!$C$311:$C$403, $C386, INPUTS│Outcomes!G$311:G$403 )</f>
        <v>0</v>
      </c>
      <c r="H386" s="229">
        <f xml:space="preserve"> SUMIF( INPUTS│Outcomes!$C$311:$C$403, $C386, INPUTS│Outcomes!H$311:H$403 )</f>
        <v>-1.6375500000000001</v>
      </c>
      <c r="I386" s="229">
        <f xml:space="preserve"> SUMIF( INPUTS│Outcomes!$C$311:$C$403, $C386, INPUTS│Outcomes!I$311:I$403 )</f>
        <v>-1.6375999999999999</v>
      </c>
      <c r="J386" s="229">
        <f xml:space="preserve"> SUMIF( INPUTS│Outcomes!$C$311:$C$403, $C386, INPUTS│Outcomes!J$311:J$403 )</f>
        <v>-1.3936999999999997</v>
      </c>
      <c r="K386" s="229">
        <f xml:space="preserve"> SUMIF( INPUTS│Outcomes!$C$311:$C$403, $C386, INPUTS│Outcomes!K$311:K$403 )</f>
        <v>-6.9720000000000004</v>
      </c>
      <c r="L386" s="229">
        <f xml:space="preserve"> SUMIF( INPUTS│Outcomes!$C$311:$C$403, $C386, INPUTS│Outcomes!L$311:L$403 )</f>
        <v>-1.7374000000000001</v>
      </c>
      <c r="N386" s="229">
        <f t="shared" si="86"/>
        <v>-2.6756500000000001</v>
      </c>
    </row>
    <row r="387" spans="2:19" outlineLevel="1" x14ac:dyDescent="0.3">
      <c r="C387" s="8" t="s">
        <v>106</v>
      </c>
      <c r="D387" s="11" t="s">
        <v>127</v>
      </c>
      <c r="E387" s="229">
        <f xml:space="preserve"> SUMIF( INPUTS│Outcomes!$C$311:$C$403, $C387, INPUTS│Outcomes!E$311:E$403 )</f>
        <v>0</v>
      </c>
      <c r="F387" s="229">
        <f xml:space="preserve"> SUMIF( INPUTS│Outcomes!$C$311:$C$403, $C387, INPUTS│Outcomes!F$311:F$403 )</f>
        <v>0</v>
      </c>
      <c r="G387" s="229">
        <f xml:space="preserve"> SUMIF( INPUTS│Outcomes!$C$311:$C$403, $C387, INPUTS│Outcomes!G$311:G$403 )</f>
        <v>0</v>
      </c>
      <c r="H387" s="229">
        <f xml:space="preserve"> SUMIF( INPUTS│Outcomes!$C$311:$C$403, $C387, INPUTS│Outcomes!H$311:H$403 )</f>
        <v>-1.1407</v>
      </c>
      <c r="I387" s="229">
        <f xml:space="preserve"> SUMIF( INPUTS│Outcomes!$C$311:$C$403, $C387, INPUTS│Outcomes!I$311:I$403 )</f>
        <v>-0.152</v>
      </c>
      <c r="J387" s="229">
        <f xml:space="preserve"> SUMIF( INPUTS│Outcomes!$C$311:$C$403, $C387, INPUTS│Outcomes!J$311:J$403 )</f>
        <v>-2.2572999999999999</v>
      </c>
      <c r="K387" s="229">
        <f xml:space="preserve"> SUMIF( INPUTS│Outcomes!$C$311:$C$403, $C387, INPUTS│Outcomes!K$311:K$403 )</f>
        <v>-3.3799000000000001</v>
      </c>
      <c r="L387" s="229">
        <f xml:space="preserve"> SUMIF( INPUTS│Outcomes!$C$311:$C$403, $C387, INPUTS│Outcomes!L$311:L$403 )</f>
        <v>1.8324</v>
      </c>
      <c r="N387" s="229">
        <f t="shared" si="86"/>
        <v>-1.0195000000000001</v>
      </c>
    </row>
    <row r="388" spans="2:19" outlineLevel="1" x14ac:dyDescent="0.3">
      <c r="C388" s="8" t="s">
        <v>108</v>
      </c>
      <c r="D388" s="11" t="s">
        <v>127</v>
      </c>
      <c r="E388" s="229">
        <f xml:space="preserve"> SUMIF( INPUTS│Outcomes!$C$311:$C$403, $C388, INPUTS│Outcomes!E$311:E$403 )</f>
        <v>0</v>
      </c>
      <c r="F388" s="229">
        <f xml:space="preserve"> SUMIF( INPUTS│Outcomes!$C$311:$C$403, $C388, INPUTS│Outcomes!F$311:F$403 )</f>
        <v>0</v>
      </c>
      <c r="G388" s="229">
        <f xml:space="preserve"> SUMIF( INPUTS│Outcomes!$C$311:$C$403, $C388, INPUTS│Outcomes!G$311:G$403 )</f>
        <v>0</v>
      </c>
      <c r="H388" s="229">
        <f xml:space="preserve"> SUMIF( INPUTS│Outcomes!$C$311:$C$403, $C388, INPUTS│Outcomes!H$311:H$403 )</f>
        <v>-0.31941999999999998</v>
      </c>
      <c r="I388" s="229">
        <f xml:space="preserve"> SUMIF( INPUTS│Outcomes!$C$311:$C$403, $C388, INPUTS│Outcomes!I$311:I$403 )</f>
        <v>0</v>
      </c>
      <c r="J388" s="229">
        <f xml:space="preserve"> SUMIF( INPUTS│Outcomes!$C$311:$C$403, $C388, INPUTS│Outcomes!J$311:J$403 )</f>
        <v>-0.31940000000000002</v>
      </c>
      <c r="K388" s="229">
        <f xml:space="preserve"> SUMIF( INPUTS│Outcomes!$C$311:$C$403, $C388, INPUTS│Outcomes!K$311:K$403 )</f>
        <v>-0.36851699999999998</v>
      </c>
      <c r="L388" s="229">
        <f xml:space="preserve"> SUMIF( INPUTS│Outcomes!$C$311:$C$403, $C388, INPUTS│Outcomes!L$311:L$403 )</f>
        <v>-0.8839999999999999</v>
      </c>
      <c r="N388" s="229">
        <f t="shared" si="86"/>
        <v>-0.37826739999999998</v>
      </c>
    </row>
    <row r="389" spans="2:19" outlineLevel="1" x14ac:dyDescent="0.3">
      <c r="C389" s="8" t="s">
        <v>112</v>
      </c>
      <c r="D389" s="11" t="s">
        <v>127</v>
      </c>
      <c r="E389" s="229">
        <f xml:space="preserve"> SUMIF( INPUTS│Outcomes!$C$311:$C$403, $C389, INPUTS│Outcomes!E$311:E$403 )</f>
        <v>0</v>
      </c>
      <c r="F389" s="229">
        <f xml:space="preserve"> SUMIF( INPUTS│Outcomes!$C$311:$C$403, $C389, INPUTS│Outcomes!F$311:F$403 )</f>
        <v>0</v>
      </c>
      <c r="G389" s="229">
        <f xml:space="preserve"> SUMIF( INPUTS│Outcomes!$C$311:$C$403, $C389, INPUTS│Outcomes!G$311:G$403 )</f>
        <v>0</v>
      </c>
      <c r="H389" s="229">
        <f xml:space="preserve"> SUMIF( INPUTS│Outcomes!$C$311:$C$403, $C389, INPUTS│Outcomes!H$311:H$403 )</f>
        <v>-8.3573673921869429E-2</v>
      </c>
      <c r="I389" s="229">
        <f xml:space="preserve"> SUMIF( INPUTS│Outcomes!$C$311:$C$403, $C389, INPUTS│Outcomes!I$311:I$403 )</f>
        <v>0.34799999999999998</v>
      </c>
      <c r="J389" s="229">
        <f xml:space="preserve"> SUMIF( INPUTS│Outcomes!$C$311:$C$403, $C389, INPUTS│Outcomes!J$311:J$403 )</f>
        <v>-1.5131999999999999</v>
      </c>
      <c r="K389" s="229">
        <f xml:space="preserve"> SUMIF( INPUTS│Outcomes!$C$311:$C$403, $C389, INPUTS│Outcomes!K$311:K$403 )</f>
        <v>-4.6504000000003154E-2</v>
      </c>
      <c r="L389" s="229">
        <f xml:space="preserve"> SUMIF( INPUTS│Outcomes!$C$311:$C$403, $C389, INPUTS│Outcomes!L$311:L$403 )</f>
        <v>0.47681199999999652</v>
      </c>
      <c r="N389" s="229">
        <f t="shared" si="86"/>
        <v>-0.16369313478437522</v>
      </c>
    </row>
    <row r="390" spans="2:19" outlineLevel="1" x14ac:dyDescent="0.3">
      <c r="C390" s="8" t="s">
        <v>114</v>
      </c>
      <c r="D390" s="11" t="s">
        <v>127</v>
      </c>
      <c r="E390" s="229">
        <f xml:space="preserve"> SUMIF( INPUTS│Outcomes!$C$311:$C$403, $C390, INPUTS│Outcomes!E$311:E$403 )</f>
        <v>0</v>
      </c>
      <c r="F390" s="229">
        <f xml:space="preserve"> SUMIF( INPUTS│Outcomes!$C$311:$C$403, $C390, INPUTS│Outcomes!F$311:F$403 )</f>
        <v>0</v>
      </c>
      <c r="G390" s="229">
        <f xml:space="preserve"> SUMIF( INPUTS│Outcomes!$C$311:$C$403, $C390, INPUTS│Outcomes!G$311:G$403 )</f>
        <v>0</v>
      </c>
      <c r="H390" s="229">
        <f xml:space="preserve"> SUMIF( INPUTS│Outcomes!$C$311:$C$403, $C390, INPUTS│Outcomes!H$311:H$403 )</f>
        <v>0.54111599999999405</v>
      </c>
      <c r="I390" s="229">
        <f xml:space="preserve"> SUMIF( INPUTS│Outcomes!$C$311:$C$403, $C390, INPUTS│Outcomes!I$311:I$403 )</f>
        <v>0.80840000000000001</v>
      </c>
      <c r="J390" s="229">
        <f xml:space="preserve"> SUMIF( INPUTS│Outcomes!$C$311:$C$403, $C390, INPUTS│Outcomes!J$311:J$403 )</f>
        <v>-0.24098070000004512</v>
      </c>
      <c r="K390" s="229">
        <f xml:space="preserve"> SUMIF( INPUTS│Outcomes!$C$311:$C$403, $C390, INPUTS│Outcomes!K$311:K$403 )</f>
        <v>0.23089999999999999</v>
      </c>
      <c r="L390" s="229">
        <f xml:space="preserve"> SUMIF( INPUTS│Outcomes!$C$311:$C$403, $C390, INPUTS│Outcomes!L$311:L$403 )</f>
        <v>0.95440000000000003</v>
      </c>
      <c r="N390" s="229">
        <f t="shared" si="86"/>
        <v>0.4587670599999899</v>
      </c>
    </row>
    <row r="391" spans="2:19" outlineLevel="1" x14ac:dyDescent="0.3">
      <c r="C391" s="8" t="s">
        <v>110</v>
      </c>
      <c r="D391" s="11" t="s">
        <v>127</v>
      </c>
      <c r="E391" s="229">
        <f xml:space="preserve"> SUMIF( INPUTS│Outcomes!$C$311:$C$403, $C391, INPUTS│Outcomes!E$311:E$403 )</f>
        <v>0</v>
      </c>
      <c r="F391" s="229">
        <f xml:space="preserve"> SUMIF( INPUTS│Outcomes!$C$311:$C$403, $C391, INPUTS│Outcomes!F$311:F$403 )</f>
        <v>0</v>
      </c>
      <c r="G391" s="229">
        <f xml:space="preserve"> SUMIF( INPUTS│Outcomes!$C$311:$C$403, $C391, INPUTS│Outcomes!G$311:G$403 )</f>
        <v>0</v>
      </c>
      <c r="H391" s="229">
        <f xml:space="preserve"> SUMIF( INPUTS│Outcomes!$C$311:$C$403, $C391, INPUTS│Outcomes!H$311:H$403 )</f>
        <v>0.15600000000000003</v>
      </c>
      <c r="I391" s="229">
        <f xml:space="preserve"> SUMIF( INPUTS│Outcomes!$C$311:$C$403, $C391, INPUTS│Outcomes!I$311:I$403 )</f>
        <v>0.254</v>
      </c>
      <c r="J391" s="229">
        <f xml:space="preserve"> SUMIF( INPUTS│Outcomes!$C$311:$C$403, $C391, INPUTS│Outcomes!J$311:J$403 )</f>
        <v>0.29239999999999999</v>
      </c>
      <c r="K391" s="229">
        <f xml:space="preserve"> SUMIF( INPUTS│Outcomes!$C$311:$C$403, $C391, INPUTS│Outcomes!K$311:K$403 )</f>
        <v>-0.15000000000000002</v>
      </c>
      <c r="L391" s="229">
        <f xml:space="preserve"> SUMIF( INPUTS│Outcomes!$C$311:$C$403, $C391, INPUTS│Outcomes!L$311:L$403 )</f>
        <v>0.21999999999999997</v>
      </c>
      <c r="N391" s="229">
        <f t="shared" si="86"/>
        <v>0.15448000000000001</v>
      </c>
    </row>
    <row r="392" spans="2:19" outlineLevel="1" x14ac:dyDescent="0.3"/>
    <row r="393" spans="2:19" outlineLevel="1" x14ac:dyDescent="0.3">
      <c r="C393" s="2" t="s">
        <v>424</v>
      </c>
      <c r="D393" s="13" t="s">
        <v>127</v>
      </c>
      <c r="E393" s="233">
        <f xml:space="preserve"> SUM( E375:E391 )</f>
        <v>0</v>
      </c>
      <c r="F393" s="233">
        <f t="shared" ref="F393:L393" si="87" xml:space="preserve"> SUM( F375:F391 )</f>
        <v>0</v>
      </c>
      <c r="G393" s="233">
        <f t="shared" si="87"/>
        <v>0</v>
      </c>
      <c r="H393" s="233">
        <f t="shared" si="87"/>
        <v>31.688269106078121</v>
      </c>
      <c r="I393" s="233">
        <f t="shared" si="87"/>
        <v>58.961326542521626</v>
      </c>
      <c r="J393" s="233">
        <f t="shared" si="87"/>
        <v>44.447184402499964</v>
      </c>
      <c r="K393" s="233">
        <f t="shared" si="87"/>
        <v>-23.061781520000011</v>
      </c>
      <c r="L393" s="233">
        <f t="shared" si="87"/>
        <v>-62.083537000000007</v>
      </c>
      <c r="N393" s="233">
        <f t="shared" si="86"/>
        <v>9.9902923062199367</v>
      </c>
    </row>
    <row r="394" spans="2:19" outlineLevel="1" x14ac:dyDescent="0.3"/>
    <row r="395" spans="2:19" ht="13.5" outlineLevel="1" x14ac:dyDescent="0.35">
      <c r="B395" s="31" t="s">
        <v>506</v>
      </c>
      <c r="C395" s="31"/>
      <c r="D395" s="31"/>
      <c r="E395" s="31"/>
      <c r="F395" s="31"/>
      <c r="G395" s="31"/>
      <c r="H395" s="31"/>
      <c r="I395" s="31"/>
      <c r="J395" s="31"/>
      <c r="K395" s="31"/>
      <c r="L395" s="31"/>
      <c r="M395" s="31"/>
      <c r="N395" s="31"/>
      <c r="O395" s="31"/>
      <c r="P395" s="31"/>
      <c r="Q395" s="31"/>
      <c r="R395" s="31"/>
      <c r="S395" s="31"/>
    </row>
    <row r="396" spans="2:19" outlineLevel="1" x14ac:dyDescent="0.3">
      <c r="N396" s="65" t="s">
        <v>662</v>
      </c>
    </row>
    <row r="397" spans="2:19" outlineLevel="1" x14ac:dyDescent="0.3">
      <c r="C397" s="8" t="s">
        <v>80</v>
      </c>
      <c r="D397" s="11" t="s">
        <v>127</v>
      </c>
      <c r="E397" s="101">
        <f xml:space="preserve"> INPUTS│Outcomes!E407</f>
        <v>0</v>
      </c>
      <c r="F397" s="101">
        <f xml:space="preserve"> INPUTS│Outcomes!F407</f>
        <v>0</v>
      </c>
      <c r="G397" s="101">
        <f xml:space="preserve"> INPUTS│Outcomes!G407</f>
        <v>0</v>
      </c>
      <c r="H397" s="101">
        <f xml:space="preserve"> INPUTS│Outcomes!H407</f>
        <v>2424.9760628111835</v>
      </c>
      <c r="I397" s="101">
        <f xml:space="preserve"> INPUTS│Outcomes!I407</f>
        <v>2473.8052357965089</v>
      </c>
      <c r="J397" s="101">
        <f xml:space="preserve"> INPUTS│Outcomes!J407</f>
        <v>2529.8159584980231</v>
      </c>
      <c r="K397" s="101">
        <f xml:space="preserve"> INPUTS│Outcomes!K407</f>
        <v>2552.6776131182041</v>
      </c>
      <c r="L397" s="101">
        <f xml:space="preserve"> INPUTS│Outcomes!L407</f>
        <v>2576.9393796992476</v>
      </c>
      <c r="N397" s="229">
        <f xml:space="preserve"> AVERAGE( H397:L397 )</f>
        <v>2511.6428499846334</v>
      </c>
    </row>
    <row r="398" spans="2:19" outlineLevel="1" x14ac:dyDescent="0.3">
      <c r="C398" s="8" t="s">
        <v>82</v>
      </c>
      <c r="D398" s="11" t="s">
        <v>127</v>
      </c>
      <c r="E398" s="101">
        <f xml:space="preserve"> INPUTS│Outcomes!E408</f>
        <v>0</v>
      </c>
      <c r="F398" s="101">
        <f xml:space="preserve"> INPUTS│Outcomes!F408</f>
        <v>0</v>
      </c>
      <c r="G398" s="101">
        <f xml:space="preserve"> INPUTS│Outcomes!G408</f>
        <v>0</v>
      </c>
      <c r="H398" s="101">
        <f xml:space="preserve"> INPUTS│Outcomes!H408</f>
        <v>1738.2509574875523</v>
      </c>
      <c r="I398" s="101">
        <f xml:space="preserve"> INPUTS│Outcomes!I408</f>
        <v>1764.7158837727441</v>
      </c>
      <c r="J398" s="101">
        <f xml:space="preserve"> INPUTS│Outcomes!J408</f>
        <v>1790.4073841178586</v>
      </c>
      <c r="K398" s="101">
        <f xml:space="preserve"> INPUTS│Outcomes!K408</f>
        <v>1814.3290512101014</v>
      </c>
      <c r="L398" s="101">
        <f xml:space="preserve"> INPUTS│Outcomes!L408</f>
        <v>1835.7204160970605</v>
      </c>
      <c r="N398" s="229">
        <f t="shared" ref="N398:N415" si="88" xml:space="preserve"> AVERAGE( H398:L398 )</f>
        <v>1788.6847385370631</v>
      </c>
    </row>
    <row r="399" spans="2:19" outlineLevel="1" x14ac:dyDescent="0.3">
      <c r="C399" s="8" t="s">
        <v>85</v>
      </c>
      <c r="D399" s="11" t="s">
        <v>127</v>
      </c>
      <c r="E399" s="105">
        <f xml:space="preserve"> INPUTS│Outcomes!E409 + INPUTS│Outcomes!E421</f>
        <v>0</v>
      </c>
      <c r="F399" s="105">
        <f xml:space="preserve"> INPUTS│Outcomes!F409 + INPUTS│Outcomes!F421</f>
        <v>0</v>
      </c>
      <c r="G399" s="105">
        <f xml:space="preserve"> INPUTS│Outcomes!G409 + INPUTS│Outcomes!G421</f>
        <v>0</v>
      </c>
      <c r="H399" s="105">
        <f xml:space="preserve"> INPUTS│Outcomes!H409 + INPUTS│Outcomes!H421</f>
        <v>25.869925794714664</v>
      </c>
      <c r="I399" s="105">
        <f xml:space="preserve"> INPUTS│Outcomes!I409 + INPUTS│Outcomes!I421</f>
        <v>28.596984079093943</v>
      </c>
      <c r="J399" s="105">
        <f xml:space="preserve"> INPUTS│Outcomes!J409 + INPUTS│Outcomes!J421</f>
        <v>31.475559647862017</v>
      </c>
      <c r="K399" s="105">
        <f xml:space="preserve"> INPUTS│Outcomes!K409 + INPUTS│Outcomes!K421</f>
        <v>23.65242004998246</v>
      </c>
      <c r="L399" s="105">
        <f xml:space="preserve"> INPUTS│Outcomes!L409 + INPUTS│Outcomes!L421</f>
        <v>24.192088623547505</v>
      </c>
      <c r="N399" s="229">
        <f t="shared" si="88"/>
        <v>26.757395639040119</v>
      </c>
    </row>
    <row r="400" spans="2:19" outlineLevel="1" x14ac:dyDescent="0.3">
      <c r="C400" s="8" t="s">
        <v>87</v>
      </c>
      <c r="D400" s="11" t="s">
        <v>127</v>
      </c>
      <c r="E400" s="101">
        <f xml:space="preserve"> INPUTS│Outcomes!E410</f>
        <v>0</v>
      </c>
      <c r="F400" s="101">
        <f xml:space="preserve"> INPUTS│Outcomes!F410</f>
        <v>0</v>
      </c>
      <c r="G400" s="101">
        <f xml:space="preserve"> INPUTS│Outcomes!G410</f>
        <v>0</v>
      </c>
      <c r="H400" s="101">
        <f xml:space="preserve"> INPUTS│Outcomes!H410</f>
        <v>1352.012016468786</v>
      </c>
      <c r="I400" s="101">
        <f xml:space="preserve"> INPUTS│Outcomes!I410</f>
        <v>1363.8299526550313</v>
      </c>
      <c r="J400" s="101">
        <f xml:space="preserve"> INPUTS│Outcomes!J410</f>
        <v>1373.4699739489758</v>
      </c>
      <c r="K400" s="101">
        <f xml:space="preserve"> INPUTS│Outcomes!K410</f>
        <v>1376.9202911259206</v>
      </c>
      <c r="L400" s="101">
        <f xml:space="preserve"> INPUTS│Outcomes!L410</f>
        <v>1364.206681476418</v>
      </c>
      <c r="N400" s="229">
        <f t="shared" si="88"/>
        <v>1366.0877831350263</v>
      </c>
    </row>
    <row r="401" spans="3:14" outlineLevel="1" x14ac:dyDescent="0.3">
      <c r="C401" s="8" t="s">
        <v>89</v>
      </c>
      <c r="D401" s="11" t="s">
        <v>127</v>
      </c>
      <c r="E401" s="105">
        <f xml:space="preserve"> INPUTS│Outcomes!E411 + INPUTS│Outcomes!E412</f>
        <v>0</v>
      </c>
      <c r="F401" s="105">
        <f xml:space="preserve"> INPUTS│Outcomes!F411 + INPUTS│Outcomes!F412</f>
        <v>0</v>
      </c>
      <c r="G401" s="105">
        <f xml:space="preserve"> INPUTS│Outcomes!G411 + INPUTS│Outcomes!G412</f>
        <v>0</v>
      </c>
      <c r="H401" s="105">
        <f xml:space="preserve"> INPUTS│Outcomes!H411 + INPUTS│Outcomes!H412</f>
        <v>2746.7246983914201</v>
      </c>
      <c r="I401" s="105">
        <f xml:space="preserve"> INPUTS│Outcomes!I411 + INPUTS│Outcomes!I412</f>
        <v>2779.96418956554</v>
      </c>
      <c r="J401" s="105">
        <f xml:space="preserve"> INPUTS│Outcomes!J411 + INPUTS│Outcomes!J412</f>
        <v>2845.362895256917</v>
      </c>
      <c r="K401" s="105">
        <f xml:space="preserve"> INPUTS│Outcomes!K411 + INPUTS│Outcomes!K412</f>
        <v>2924.9095712030858</v>
      </c>
      <c r="L401" s="105">
        <f xml:space="preserve"> INPUTS│Outcomes!L411 + INPUTS│Outcomes!L412</f>
        <v>2973.8896540498972</v>
      </c>
      <c r="N401" s="229">
        <f t="shared" si="88"/>
        <v>2854.1702016933718</v>
      </c>
    </row>
    <row r="402" spans="3:14" outlineLevel="1" x14ac:dyDescent="0.3">
      <c r="C402" s="8" t="s">
        <v>91</v>
      </c>
      <c r="D402" s="11" t="s">
        <v>127</v>
      </c>
      <c r="E402" s="101">
        <f xml:space="preserve"> INPUTS│Outcomes!E413</f>
        <v>0</v>
      </c>
      <c r="F402" s="101">
        <f xml:space="preserve"> INPUTS│Outcomes!F413</f>
        <v>0</v>
      </c>
      <c r="G402" s="101">
        <f xml:space="preserve"> INPUTS│Outcomes!G413</f>
        <v>0</v>
      </c>
      <c r="H402" s="101">
        <f xml:space="preserve"> INPUTS│Outcomes!H413</f>
        <v>1101.2554337418612</v>
      </c>
      <c r="I402" s="101">
        <f xml:space="preserve"> INPUTS│Outcomes!I413</f>
        <v>1114.23458967694</v>
      </c>
      <c r="J402" s="101">
        <f xml:space="preserve"> INPUTS│Outcomes!J413</f>
        <v>1126.176136363636</v>
      </c>
      <c r="K402" s="101">
        <f xml:space="preserve"> INPUTS│Outcomes!K413</f>
        <v>1129.7312346545073</v>
      </c>
      <c r="L402" s="101">
        <f xml:space="preserve"> INPUTS│Outcomes!L413</f>
        <v>1124.1376666097058</v>
      </c>
      <c r="N402" s="229">
        <f t="shared" si="88"/>
        <v>1119.1070122093302</v>
      </c>
    </row>
    <row r="403" spans="3:14" outlineLevel="1" x14ac:dyDescent="0.3">
      <c r="C403" s="8" t="s">
        <v>94</v>
      </c>
      <c r="D403" s="11" t="s">
        <v>127</v>
      </c>
      <c r="E403" s="101">
        <f xml:space="preserve"> INPUTS│Outcomes!E414</f>
        <v>0</v>
      </c>
      <c r="F403" s="101">
        <f xml:space="preserve"> INPUTS│Outcomes!F414</f>
        <v>0</v>
      </c>
      <c r="G403" s="101">
        <f xml:space="preserve"> INPUTS│Outcomes!G414</f>
        <v>0</v>
      </c>
      <c r="H403" s="101">
        <f xml:space="preserve"> INPUTS│Outcomes!H414</f>
        <v>1534.0609440827268</v>
      </c>
      <c r="I403" s="101">
        <f xml:space="preserve"> INPUTS│Outcomes!I414</f>
        <v>1557.7135861492757</v>
      </c>
      <c r="J403" s="101">
        <f xml:space="preserve"> INPUTS│Outcomes!J414</f>
        <v>1588.9453377650016</v>
      </c>
      <c r="K403" s="101">
        <f xml:space="preserve"> INPUTS│Outcomes!K414</f>
        <v>1612.0395694493156</v>
      </c>
      <c r="L403" s="101">
        <f xml:space="preserve"> INPUTS│Outcomes!L414</f>
        <v>1616.5065148667118</v>
      </c>
      <c r="N403" s="229">
        <f t="shared" si="88"/>
        <v>1581.8531904626063</v>
      </c>
    </row>
    <row r="404" spans="3:14" outlineLevel="1" x14ac:dyDescent="0.3">
      <c r="C404" s="8" t="s">
        <v>96</v>
      </c>
      <c r="D404" s="11" t="s">
        <v>127</v>
      </c>
      <c r="E404" s="101">
        <f xml:space="preserve"> INPUTS│Outcomes!E415</f>
        <v>0</v>
      </c>
      <c r="F404" s="101">
        <f xml:space="preserve"> INPUTS│Outcomes!F415</f>
        <v>0</v>
      </c>
      <c r="G404" s="101">
        <f xml:space="preserve"> INPUTS│Outcomes!G415</f>
        <v>0</v>
      </c>
      <c r="H404" s="101">
        <f xml:space="preserve"> INPUTS│Outcomes!H415</f>
        <v>4235.449133473764</v>
      </c>
      <c r="I404" s="101">
        <f xml:space="preserve"> INPUTS│Outcomes!I415</f>
        <v>4359.1446806535459</v>
      </c>
      <c r="J404" s="101">
        <f xml:space="preserve"> INPUTS│Outcomes!J415</f>
        <v>4464.8078063241101</v>
      </c>
      <c r="K404" s="101">
        <f xml:space="preserve"> INPUTS│Outcomes!K415</f>
        <v>4556.5826464398451</v>
      </c>
      <c r="L404" s="101">
        <f xml:space="preserve"> INPUTS│Outcomes!L415</f>
        <v>4606.7848385167463</v>
      </c>
      <c r="N404" s="229">
        <f t="shared" si="88"/>
        <v>4444.553821081603</v>
      </c>
    </row>
    <row r="405" spans="3:14" outlineLevel="1" x14ac:dyDescent="0.3">
      <c r="C405" s="8" t="s">
        <v>98</v>
      </c>
      <c r="D405" s="11" t="s">
        <v>127</v>
      </c>
      <c r="E405" s="101">
        <f xml:space="preserve"> INPUTS│Outcomes!E416</f>
        <v>0</v>
      </c>
      <c r="F405" s="101">
        <f xml:space="preserve"> INPUTS│Outcomes!F416</f>
        <v>0</v>
      </c>
      <c r="G405" s="101">
        <f xml:space="preserve"> INPUTS│Outcomes!G416</f>
        <v>0</v>
      </c>
      <c r="H405" s="101">
        <f xml:space="preserve"> INPUTS│Outcomes!H416</f>
        <v>3587.3830668326309</v>
      </c>
      <c r="I405" s="101">
        <f xml:space="preserve"> INPUTS│Outcomes!I416</f>
        <v>3594.3435991459341</v>
      </c>
      <c r="J405" s="101">
        <f xml:space="preserve"> INPUTS│Outcomes!J416</f>
        <v>3615.2710429392737</v>
      </c>
      <c r="K405" s="101">
        <f xml:space="preserve"> INPUTS│Outcomes!K416</f>
        <v>3650.3837030866366</v>
      </c>
      <c r="L405" s="101">
        <f xml:space="preserve"> INPUTS│Outcomes!L416</f>
        <v>3662.346120984279</v>
      </c>
      <c r="N405" s="229">
        <f t="shared" si="88"/>
        <v>3621.9455065977513</v>
      </c>
    </row>
    <row r="406" spans="3:14" outlineLevel="1" x14ac:dyDescent="0.3">
      <c r="C406" s="8" t="s">
        <v>100</v>
      </c>
      <c r="D406" s="11" t="s">
        <v>127</v>
      </c>
      <c r="E406" s="101">
        <f xml:space="preserve"> INPUTS│Outcomes!E417</f>
        <v>0</v>
      </c>
      <c r="F406" s="101">
        <f xml:space="preserve"> INPUTS│Outcomes!F417</f>
        <v>0</v>
      </c>
      <c r="G406" s="101">
        <f xml:space="preserve"> INPUTS│Outcomes!G417</f>
        <v>0</v>
      </c>
      <c r="H406" s="101">
        <f xml:space="preserve"> INPUTS│Outcomes!H417</f>
        <v>975.61355802374567</v>
      </c>
      <c r="I406" s="101">
        <f xml:space="preserve"> INPUTS│Outcomes!I417</f>
        <v>993.95177311548457</v>
      </c>
      <c r="J406" s="101">
        <f xml:space="preserve"> INPUTS│Outcomes!J417</f>
        <v>1010.6074829320876</v>
      </c>
      <c r="K406" s="101">
        <f xml:space="preserve"> INPUTS│Outcomes!K417</f>
        <v>1033.0120790950541</v>
      </c>
      <c r="L406" s="101">
        <f xml:space="preserve"> INPUTS│Outcomes!L417</f>
        <v>1045.5781784005467</v>
      </c>
      <c r="N406" s="229">
        <f t="shared" si="88"/>
        <v>1011.7526143133837</v>
      </c>
    </row>
    <row r="407" spans="3:14" outlineLevel="1" x14ac:dyDescent="0.3">
      <c r="C407" s="8" t="s">
        <v>102</v>
      </c>
      <c r="D407" s="11" t="s">
        <v>127</v>
      </c>
      <c r="E407" s="101">
        <f xml:space="preserve"> INPUTS│Outcomes!E418</f>
        <v>0</v>
      </c>
      <c r="F407" s="101">
        <f xml:space="preserve"> INPUTS│Outcomes!F418</f>
        <v>0</v>
      </c>
      <c r="G407" s="101">
        <f xml:space="preserve"> INPUTS│Outcomes!G418</f>
        <v>0</v>
      </c>
      <c r="H407" s="101">
        <f xml:space="preserve"> INPUTS│Outcomes!H418</f>
        <v>2022.2191689008041</v>
      </c>
      <c r="I407" s="101">
        <f xml:space="preserve"> INPUTS│Outcomes!I418</f>
        <v>2071.5563265874484</v>
      </c>
      <c r="J407" s="101">
        <f xml:space="preserve"> INPUTS│Outcomes!J418</f>
        <v>2109.4164346029465</v>
      </c>
      <c r="K407" s="101">
        <f xml:space="preserve"> INPUTS│Outcomes!K418</f>
        <v>2138.9256182041386</v>
      </c>
      <c r="L407" s="101">
        <f xml:space="preserve"> INPUTS│Outcomes!L418</f>
        <v>2165.9525162337659</v>
      </c>
      <c r="N407" s="229">
        <f t="shared" si="88"/>
        <v>2101.6140129058208</v>
      </c>
    </row>
    <row r="408" spans="3:14" outlineLevel="1" x14ac:dyDescent="0.3">
      <c r="C408" s="8" t="s">
        <v>104</v>
      </c>
      <c r="D408" s="11" t="s">
        <v>127</v>
      </c>
      <c r="E408" s="101">
        <f xml:space="preserve"> INPUTS│Outcomes!E419</f>
        <v>0</v>
      </c>
      <c r="F408" s="101">
        <f xml:space="preserve"> INPUTS│Outcomes!F419</f>
        <v>0</v>
      </c>
      <c r="G408" s="101">
        <f xml:space="preserve"> INPUTS│Outcomes!G419</f>
        <v>0</v>
      </c>
      <c r="H408" s="101">
        <f xml:space="preserve"> INPUTS│Outcomes!H419</f>
        <v>373.13176967636917</v>
      </c>
      <c r="I408" s="101">
        <f xml:space="preserve"> INPUTS│Outcomes!I419</f>
        <v>386.80807115670245</v>
      </c>
      <c r="J408" s="101">
        <f xml:space="preserve"> INPUTS│Outcomes!J419</f>
        <v>395.98832487423635</v>
      </c>
      <c r="K408" s="101">
        <f xml:space="preserve"> INPUTS│Outcomes!K419</f>
        <v>396.32806317958608</v>
      </c>
      <c r="L408" s="101">
        <f xml:space="preserve"> INPUTS│Outcomes!L419</f>
        <v>390.5880534432672</v>
      </c>
      <c r="N408" s="229">
        <f t="shared" si="88"/>
        <v>388.56885646603223</v>
      </c>
    </row>
    <row r="409" spans="3:14" outlineLevel="1" x14ac:dyDescent="0.3">
      <c r="C409" s="8" t="s">
        <v>106</v>
      </c>
      <c r="D409" s="11" t="s">
        <v>127</v>
      </c>
      <c r="E409" s="101">
        <f xml:space="preserve"> INPUTS│Outcomes!E420</f>
        <v>0</v>
      </c>
      <c r="F409" s="101">
        <f xml:space="preserve"> INPUTS│Outcomes!F420</f>
        <v>0</v>
      </c>
      <c r="G409" s="101">
        <f xml:space="preserve"> INPUTS│Outcomes!G420</f>
        <v>0</v>
      </c>
      <c r="H409" s="101">
        <f xml:space="preserve"> INPUTS│Outcomes!H420</f>
        <v>153.11790884718499</v>
      </c>
      <c r="I409" s="101">
        <f xml:space="preserve"> INPUTS│Outcomes!I420</f>
        <v>157.71871356294093</v>
      </c>
      <c r="J409" s="101">
        <f xml:space="preserve"> INPUTS│Outcomes!J420</f>
        <v>162.99466560366506</v>
      </c>
      <c r="K409" s="101">
        <f xml:space="preserve"> INPUTS│Outcomes!K420</f>
        <v>168.14649333567166</v>
      </c>
      <c r="L409" s="101">
        <f xml:space="preserve"> INPUTS│Outcomes!L420</f>
        <v>173.28717767429936</v>
      </c>
      <c r="N409" s="229">
        <f t="shared" si="88"/>
        <v>163.05299180475239</v>
      </c>
    </row>
    <row r="410" spans="3:14" outlineLevel="1" x14ac:dyDescent="0.3">
      <c r="C410" s="8" t="s">
        <v>108</v>
      </c>
      <c r="D410" s="11" t="s">
        <v>127</v>
      </c>
      <c r="E410" s="101">
        <f xml:space="preserve"> INPUTS│Outcomes!E422</f>
        <v>0</v>
      </c>
      <c r="F410" s="101">
        <f xml:space="preserve"> INPUTS│Outcomes!F422</f>
        <v>0</v>
      </c>
      <c r="G410" s="101">
        <f xml:space="preserve"> INPUTS│Outcomes!G422</f>
        <v>0</v>
      </c>
      <c r="H410" s="101">
        <f xml:space="preserve"> INPUTS│Outcomes!H422</f>
        <v>44.962219216775175</v>
      </c>
      <c r="I410" s="101">
        <f xml:space="preserve"> INPUTS│Outcomes!I422</f>
        <v>45.600135768659491</v>
      </c>
      <c r="J410" s="101">
        <f xml:space="preserve"> INPUTS│Outcomes!J422</f>
        <v>46.896803359683794</v>
      </c>
      <c r="K410" s="101">
        <f xml:space="preserve"> INPUTS│Outcomes!K422</f>
        <v>47.931502981410027</v>
      </c>
      <c r="L410" s="101">
        <f xml:space="preserve"> INPUTS│Outcomes!L422</f>
        <v>48.432630105092258</v>
      </c>
      <c r="N410" s="229">
        <f t="shared" si="88"/>
        <v>46.764658286324149</v>
      </c>
    </row>
    <row r="411" spans="3:14" outlineLevel="1" x14ac:dyDescent="0.3">
      <c r="C411" s="8" t="s">
        <v>112</v>
      </c>
      <c r="D411" s="11" t="s">
        <v>127</v>
      </c>
      <c r="E411" s="101">
        <f xml:space="preserve"> INPUTS│Outcomes!E423</f>
        <v>0</v>
      </c>
      <c r="F411" s="101">
        <f xml:space="preserve"> INPUTS│Outcomes!F423</f>
        <v>0</v>
      </c>
      <c r="G411" s="101">
        <f xml:space="preserve"> INPUTS│Outcomes!G423</f>
        <v>0</v>
      </c>
      <c r="H411" s="101">
        <f xml:space="preserve"> INPUTS│Outcomes!H423</f>
        <v>406.04466942742238</v>
      </c>
      <c r="I411" s="101">
        <f xml:space="preserve"> INPUTS│Outcomes!I423</f>
        <v>414.74571458410696</v>
      </c>
      <c r="J411" s="101">
        <f xml:space="preserve"> INPUTS│Outcomes!J423</f>
        <v>425.31242813510596</v>
      </c>
      <c r="K411" s="101">
        <f xml:space="preserve"> INPUTS│Outcomes!K423</f>
        <v>435.23620001753767</v>
      </c>
      <c r="L411" s="101">
        <f xml:space="preserve"> INPUTS│Outcomes!L423</f>
        <v>441.28009206254268</v>
      </c>
      <c r="N411" s="229">
        <f t="shared" si="88"/>
        <v>424.5238208453431</v>
      </c>
    </row>
    <row r="412" spans="3:14" outlineLevel="1" x14ac:dyDescent="0.3">
      <c r="C412" s="8" t="s">
        <v>114</v>
      </c>
      <c r="D412" s="11" t="s">
        <v>127</v>
      </c>
      <c r="E412" s="101">
        <f xml:space="preserve"> INPUTS│Outcomes!E424</f>
        <v>0</v>
      </c>
      <c r="F412" s="101">
        <f xml:space="preserve"> INPUTS│Outcomes!F424</f>
        <v>0</v>
      </c>
      <c r="G412" s="101">
        <f xml:space="preserve"> INPUTS│Outcomes!G424</f>
        <v>0</v>
      </c>
      <c r="H412" s="101">
        <f xml:space="preserve"> INPUTS│Outcomes!H424</f>
        <v>116.49725584067406</v>
      </c>
      <c r="I412" s="101">
        <f xml:space="preserve"> INPUTS│Outcomes!I424</f>
        <v>117.56367526921647</v>
      </c>
      <c r="J412" s="101">
        <f xml:space="preserve"> INPUTS│Outcomes!J424</f>
        <v>119.28300687208049</v>
      </c>
      <c r="K412" s="101">
        <f xml:space="preserve"> INPUTS│Outcomes!K424</f>
        <v>121.23528893370745</v>
      </c>
      <c r="L412" s="101">
        <f xml:space="preserve"> INPUTS│Outcomes!L424</f>
        <v>123.26626602016403</v>
      </c>
      <c r="N412" s="229">
        <f t="shared" si="88"/>
        <v>119.5690985871685</v>
      </c>
    </row>
    <row r="413" spans="3:14" outlineLevel="1" x14ac:dyDescent="0.3">
      <c r="C413" s="8" t="s">
        <v>110</v>
      </c>
      <c r="D413" s="11" t="s">
        <v>127</v>
      </c>
      <c r="E413" s="101">
        <f xml:space="preserve"> INPUTS│Outcomes!E425</f>
        <v>0</v>
      </c>
      <c r="F413" s="101">
        <f xml:space="preserve"> INPUTS│Outcomes!F425</f>
        <v>0</v>
      </c>
      <c r="G413" s="101">
        <f xml:space="preserve"> INPUTS│Outcomes!G425</f>
        <v>0</v>
      </c>
      <c r="H413" s="101">
        <f xml:space="preserve"> INPUTS│Outcomes!H425</f>
        <v>77.623835216392166</v>
      </c>
      <c r="I413" s="101">
        <f xml:space="preserve"> INPUTS│Outcomes!I425</f>
        <v>78.814208132194565</v>
      </c>
      <c r="J413" s="101">
        <f xml:space="preserve"> INPUTS│Outcomes!J425</f>
        <v>81.099189723320151</v>
      </c>
      <c r="K413" s="101">
        <f xml:space="preserve"> INPUTS│Outcomes!K425</f>
        <v>83.07708764468606</v>
      </c>
      <c r="L413" s="101">
        <f xml:space="preserve"> INPUTS│Outcomes!L425</f>
        <v>84.228002178742315</v>
      </c>
      <c r="N413" s="229">
        <f t="shared" si="88"/>
        <v>80.968464579067046</v>
      </c>
    </row>
    <row r="414" spans="3:14" outlineLevel="1" x14ac:dyDescent="0.3"/>
    <row r="415" spans="3:14" outlineLevel="1" x14ac:dyDescent="0.3">
      <c r="C415" s="2" t="s">
        <v>424</v>
      </c>
      <c r="D415" s="13" t="s">
        <v>127</v>
      </c>
      <c r="E415" s="15">
        <f xml:space="preserve"> SUM( E397:E413 )</f>
        <v>0</v>
      </c>
      <c r="F415" s="15">
        <f t="shared" ref="F415:L415" si="89" xml:space="preserve"> SUM( F397:F413 )</f>
        <v>0</v>
      </c>
      <c r="G415" s="15">
        <f t="shared" si="89"/>
        <v>0</v>
      </c>
      <c r="H415" s="15">
        <f t="shared" si="89"/>
        <v>22915.192624234001</v>
      </c>
      <c r="I415" s="15">
        <f t="shared" si="89"/>
        <v>23303.107319671362</v>
      </c>
      <c r="J415" s="15">
        <f t="shared" si="89"/>
        <v>23717.330430964783</v>
      </c>
      <c r="K415" s="15">
        <f t="shared" si="89"/>
        <v>24065.118433729396</v>
      </c>
      <c r="L415" s="15">
        <f t="shared" si="89"/>
        <v>24257.336277042028</v>
      </c>
      <c r="N415" s="233">
        <f t="shared" si="88"/>
        <v>23651.617017128312</v>
      </c>
    </row>
    <row r="416" spans="3:14" outlineLevel="1" x14ac:dyDescent="0.3"/>
    <row r="417" spans="2:19" ht="13.5" outlineLevel="1" x14ac:dyDescent="0.35">
      <c r="B417" s="31" t="s">
        <v>582</v>
      </c>
      <c r="C417" s="31"/>
      <c r="D417" s="31"/>
      <c r="E417" s="31"/>
      <c r="F417" s="31"/>
      <c r="G417" s="31"/>
      <c r="H417" s="31"/>
      <c r="I417" s="31"/>
      <c r="J417" s="31"/>
      <c r="K417" s="31"/>
      <c r="L417" s="31"/>
      <c r="M417" s="31"/>
      <c r="N417" s="31"/>
      <c r="O417" s="31"/>
      <c r="P417" s="31"/>
      <c r="Q417" s="31"/>
      <c r="R417" s="31"/>
      <c r="S417" s="31"/>
    </row>
    <row r="418" spans="2:19" outlineLevel="1" x14ac:dyDescent="0.3"/>
    <row r="419" spans="2:19" outlineLevel="1" x14ac:dyDescent="0.3">
      <c r="C419" s="8" t="s">
        <v>80</v>
      </c>
      <c r="D419" s="11" t="s">
        <v>133</v>
      </c>
      <c r="E419" s="237">
        <f xml:space="preserve"> IFERROR( E375 / E397, 0 )</f>
        <v>0</v>
      </c>
      <c r="F419" s="237">
        <f t="shared" ref="F419:L419" si="90" xml:space="preserve"> IFERROR( F375 / F397, 0 )</f>
        <v>0</v>
      </c>
      <c r="G419" s="237">
        <f t="shared" si="90"/>
        <v>0</v>
      </c>
      <c r="H419" s="237">
        <f t="shared" si="90"/>
        <v>4.5468490056837811E-3</v>
      </c>
      <c r="I419" s="237">
        <f t="shared" si="90"/>
        <v>2.1503713885896157E-3</v>
      </c>
      <c r="J419" s="237">
        <f t="shared" si="90"/>
        <v>5.2806212859576431E-3</v>
      </c>
      <c r="K419" s="237">
        <f t="shared" si="90"/>
        <v>4.7759262420559593E-3</v>
      </c>
      <c r="L419" s="237">
        <f t="shared" si="90"/>
        <v>-3.1936335269790051E-3</v>
      </c>
      <c r="N419" s="237">
        <f t="shared" ref="N419:N435" si="91" xml:space="preserve"> IFERROR( N375 / N397, 0 )</f>
        <v>2.6808110874685849E-3</v>
      </c>
    </row>
    <row r="420" spans="2:19" outlineLevel="1" x14ac:dyDescent="0.3">
      <c r="C420" s="8" t="s">
        <v>82</v>
      </c>
      <c r="D420" s="11" t="s">
        <v>133</v>
      </c>
      <c r="E420" s="237">
        <f t="shared" ref="E420:L437" si="92" xml:space="preserve"> IFERROR( E376 / E398, 0 )</f>
        <v>0</v>
      </c>
      <c r="F420" s="237">
        <f t="shared" si="92"/>
        <v>0</v>
      </c>
      <c r="G420" s="237">
        <f t="shared" si="92"/>
        <v>0</v>
      </c>
      <c r="H420" s="237">
        <f t="shared" si="92"/>
        <v>5.6781214228502329E-4</v>
      </c>
      <c r="I420" s="237">
        <f t="shared" si="92"/>
        <v>1.5866576743299586E-3</v>
      </c>
      <c r="J420" s="237">
        <f t="shared" si="92"/>
        <v>-1.8872799732474561E-3</v>
      </c>
      <c r="K420" s="237">
        <f t="shared" si="92"/>
        <v>-1.9566461759691617E-4</v>
      </c>
      <c r="L420" s="237">
        <f t="shared" si="92"/>
        <v>-1.7385545053671481E-3</v>
      </c>
      <c r="N420" s="237">
        <f t="shared" si="91"/>
        <v>-3.5092824715068905E-4</v>
      </c>
    </row>
    <row r="421" spans="2:19" outlineLevel="1" x14ac:dyDescent="0.3">
      <c r="C421" s="8" t="s">
        <v>85</v>
      </c>
      <c r="D421" s="11" t="s">
        <v>133</v>
      </c>
      <c r="E421" s="237">
        <f t="shared" si="92"/>
        <v>0</v>
      </c>
      <c r="F421" s="237">
        <f t="shared" si="92"/>
        <v>0</v>
      </c>
      <c r="G421" s="237">
        <f t="shared" si="92"/>
        <v>0</v>
      </c>
      <c r="H421" s="237">
        <f t="shared" si="92"/>
        <v>9.8280761227364914E-4</v>
      </c>
      <c r="I421" s="237">
        <f t="shared" si="92"/>
        <v>-1.3203042633996623E-3</v>
      </c>
      <c r="J421" s="237">
        <f t="shared" si="92"/>
        <v>4.6528163959095047E-4</v>
      </c>
      <c r="K421" s="237">
        <f t="shared" si="92"/>
        <v>-1.8157406265086117E-2</v>
      </c>
      <c r="L421" s="237">
        <f t="shared" si="92"/>
        <v>-1.8517830641706201E-2</v>
      </c>
      <c r="N421" s="237">
        <f t="shared" si="91"/>
        <v>-6.5412805626205118E-3</v>
      </c>
    </row>
    <row r="422" spans="2:19" outlineLevel="1" x14ac:dyDescent="0.3">
      <c r="C422" s="8" t="s">
        <v>87</v>
      </c>
      <c r="D422" s="11" t="s">
        <v>133</v>
      </c>
      <c r="E422" s="237">
        <f t="shared" si="92"/>
        <v>0</v>
      </c>
      <c r="F422" s="237">
        <f t="shared" si="92"/>
        <v>0</v>
      </c>
      <c r="G422" s="237">
        <f t="shared" si="92"/>
        <v>0</v>
      </c>
      <c r="H422" s="237">
        <f t="shared" si="92"/>
        <v>3.3246745925677029E-3</v>
      </c>
      <c r="I422" s="237">
        <f t="shared" si="92"/>
        <v>3.6008887988121445E-3</v>
      </c>
      <c r="J422" s="237">
        <f t="shared" si="92"/>
        <v>2.7501875335065214E-3</v>
      </c>
      <c r="K422" s="237">
        <f t="shared" si="92"/>
        <v>-2.315892953681791E-3</v>
      </c>
      <c r="L422" s="237">
        <f t="shared" si="92"/>
        <v>-1.3909182719633263E-4</v>
      </c>
      <c r="N422" s="237">
        <f t="shared" si="91"/>
        <v>1.4354494815112305E-3</v>
      </c>
    </row>
    <row r="423" spans="2:19" outlineLevel="1" x14ac:dyDescent="0.3">
      <c r="C423" s="8" t="s">
        <v>89</v>
      </c>
      <c r="D423" s="11" t="s">
        <v>133</v>
      </c>
      <c r="E423" s="237">
        <f t="shared" si="92"/>
        <v>0</v>
      </c>
      <c r="F423" s="237">
        <f t="shared" si="92"/>
        <v>0</v>
      </c>
      <c r="G423" s="237">
        <f t="shared" si="92"/>
        <v>0</v>
      </c>
      <c r="H423" s="237">
        <f t="shared" si="92"/>
        <v>6.8396594427545428E-3</v>
      </c>
      <c r="I423" s="237">
        <f t="shared" si="92"/>
        <v>1.3800900797214069E-2</v>
      </c>
      <c r="J423" s="237">
        <f t="shared" si="92"/>
        <v>2.0387562899867682E-2</v>
      </c>
      <c r="K423" s="237">
        <f t="shared" si="92"/>
        <v>-1.1292198680321771E-3</v>
      </c>
      <c r="L423" s="237">
        <f t="shared" si="92"/>
        <v>9.9237784293071257E-3</v>
      </c>
      <c r="N423" s="237">
        <f t="shared" si="91"/>
        <v>9.9063498340866956E-3</v>
      </c>
    </row>
    <row r="424" spans="2:19" outlineLevel="1" x14ac:dyDescent="0.3">
      <c r="C424" s="8" t="s">
        <v>91</v>
      </c>
      <c r="D424" s="11" t="s">
        <v>133</v>
      </c>
      <c r="E424" s="237">
        <f t="shared" si="92"/>
        <v>0</v>
      </c>
      <c r="F424" s="237">
        <f t="shared" si="92"/>
        <v>0</v>
      </c>
      <c r="G424" s="237">
        <f t="shared" si="92"/>
        <v>0</v>
      </c>
      <c r="H424" s="237">
        <f t="shared" si="92"/>
        <v>1.871200755848465E-4</v>
      </c>
      <c r="I424" s="237">
        <f t="shared" si="92"/>
        <v>1.7908257547259812E-3</v>
      </c>
      <c r="J424" s="237">
        <f t="shared" si="92"/>
        <v>5.4787166951721893E-5</v>
      </c>
      <c r="K424" s="237">
        <f t="shared" si="92"/>
        <v>3.6573300562620817E-3</v>
      </c>
      <c r="L424" s="237">
        <f t="shared" si="92"/>
        <v>1.8127317147424602E-3</v>
      </c>
      <c r="N424" s="237">
        <f t="shared" si="91"/>
        <v>1.5070456905371709E-3</v>
      </c>
    </row>
    <row r="425" spans="2:19" outlineLevel="1" x14ac:dyDescent="0.3">
      <c r="C425" s="8" t="s">
        <v>94</v>
      </c>
      <c r="D425" s="11" t="s">
        <v>133</v>
      </c>
      <c r="E425" s="237">
        <f t="shared" si="92"/>
        <v>0</v>
      </c>
      <c r="F425" s="237">
        <f t="shared" si="92"/>
        <v>0</v>
      </c>
      <c r="G425" s="237">
        <f t="shared" si="92"/>
        <v>0</v>
      </c>
      <c r="H425" s="237">
        <f t="shared" si="92"/>
        <v>-9.5009263199220199E-4</v>
      </c>
      <c r="I425" s="237">
        <f t="shared" si="92"/>
        <v>0</v>
      </c>
      <c r="J425" s="237">
        <f t="shared" si="92"/>
        <v>-1.8063239381394525E-4</v>
      </c>
      <c r="K425" s="237">
        <f t="shared" si="92"/>
        <v>-2.1463492990944147E-4</v>
      </c>
      <c r="L425" s="237">
        <f t="shared" si="92"/>
        <v>-1.7324396618537067E-3</v>
      </c>
      <c r="N425" s="237">
        <f t="shared" si="91"/>
        <v>-6.1839050924436837E-4</v>
      </c>
    </row>
    <row r="426" spans="2:19" outlineLevel="1" x14ac:dyDescent="0.3">
      <c r="C426" s="8" t="s">
        <v>96</v>
      </c>
      <c r="D426" s="11" t="s">
        <v>133</v>
      </c>
      <c r="E426" s="237">
        <f t="shared" si="92"/>
        <v>0</v>
      </c>
      <c r="F426" s="237">
        <f t="shared" si="92"/>
        <v>0</v>
      </c>
      <c r="G426" s="237">
        <f t="shared" si="92"/>
        <v>0</v>
      </c>
      <c r="H426" s="237">
        <f t="shared" si="92"/>
        <v>-3.1283577213292663E-3</v>
      </c>
      <c r="I426" s="237">
        <f t="shared" si="92"/>
        <v>-3.4431984023411007E-3</v>
      </c>
      <c r="J426" s="237">
        <f t="shared" si="92"/>
        <v>-7.5880085928923067E-3</v>
      </c>
      <c r="K426" s="237">
        <f t="shared" si="92"/>
        <v>-1.1337650166482504E-2</v>
      </c>
      <c r="L426" s="237">
        <f t="shared" si="92"/>
        <v>-2.8040410943435998E-2</v>
      </c>
      <c r="N426" s="237">
        <f t="shared" si="91"/>
        <v>-1.0933627526232578E-2</v>
      </c>
    </row>
    <row r="427" spans="2:19" outlineLevel="1" x14ac:dyDescent="0.3">
      <c r="C427" s="8" t="s">
        <v>98</v>
      </c>
      <c r="D427" s="11" t="s">
        <v>133</v>
      </c>
      <c r="E427" s="237">
        <f t="shared" si="92"/>
        <v>0</v>
      </c>
      <c r="F427" s="237">
        <f t="shared" si="92"/>
        <v>0</v>
      </c>
      <c r="G427" s="237">
        <f t="shared" si="92"/>
        <v>0</v>
      </c>
      <c r="H427" s="237">
        <f t="shared" si="92"/>
        <v>7.0133045541227095E-4</v>
      </c>
      <c r="I427" s="237">
        <f t="shared" si="92"/>
        <v>1.8692403987522093E-3</v>
      </c>
      <c r="J427" s="237">
        <f t="shared" si="92"/>
        <v>-1.9447227929787344E-3</v>
      </c>
      <c r="K427" s="237">
        <f t="shared" si="92"/>
        <v>5.2723202724486917E-3</v>
      </c>
      <c r="L427" s="237">
        <f t="shared" si="92"/>
        <v>4.496188906245294E-3</v>
      </c>
      <c r="N427" s="237">
        <f t="shared" si="91"/>
        <v>2.0937104212888397E-3</v>
      </c>
    </row>
    <row r="428" spans="2:19" outlineLevel="1" x14ac:dyDescent="0.3">
      <c r="C428" s="8" t="s">
        <v>100</v>
      </c>
      <c r="D428" s="11" t="s">
        <v>133</v>
      </c>
      <c r="E428" s="237">
        <f t="shared" si="92"/>
        <v>0</v>
      </c>
      <c r="F428" s="237">
        <f t="shared" si="92"/>
        <v>0</v>
      </c>
      <c r="G428" s="237">
        <f t="shared" si="92"/>
        <v>0</v>
      </c>
      <c r="H428" s="237">
        <f t="shared" si="92"/>
        <v>5.2256346358359167E-3</v>
      </c>
      <c r="I428" s="237">
        <f t="shared" si="92"/>
        <v>5.5354798379747315E-3</v>
      </c>
      <c r="J428" s="237">
        <f t="shared" si="92"/>
        <v>6.5083626542294251E-3</v>
      </c>
      <c r="K428" s="237">
        <f t="shared" si="92"/>
        <v>2.4219465102399674E-3</v>
      </c>
      <c r="L428" s="237">
        <f t="shared" si="92"/>
        <v>5.4459820581858305E-3</v>
      </c>
      <c r="N428" s="237">
        <f t="shared" si="91"/>
        <v>5.0157913389172947E-3</v>
      </c>
    </row>
    <row r="429" spans="2:19" outlineLevel="1" x14ac:dyDescent="0.3">
      <c r="C429" s="8" t="s">
        <v>102</v>
      </c>
      <c r="D429" s="11" t="s">
        <v>133</v>
      </c>
      <c r="E429" s="237">
        <f t="shared" si="92"/>
        <v>0</v>
      </c>
      <c r="F429" s="237">
        <f t="shared" si="92"/>
        <v>0</v>
      </c>
      <c r="G429" s="237">
        <f t="shared" si="92"/>
        <v>0</v>
      </c>
      <c r="H429" s="237">
        <f t="shared" si="92"/>
        <v>2.8382690601829342E-3</v>
      </c>
      <c r="I429" s="237">
        <f t="shared" si="92"/>
        <v>4.2359364731613895E-3</v>
      </c>
      <c r="J429" s="237">
        <f t="shared" si="92"/>
        <v>5.9992990928232912E-3</v>
      </c>
      <c r="K429" s="237">
        <f t="shared" si="92"/>
        <v>4.1311488369656204E-3</v>
      </c>
      <c r="L429" s="237">
        <f t="shared" si="92"/>
        <v>1.2640694472659917E-2</v>
      </c>
      <c r="N429" s="237">
        <f t="shared" si="91"/>
        <v>6.0320274696741335E-3</v>
      </c>
    </row>
    <row r="430" spans="2:19" outlineLevel="1" x14ac:dyDescent="0.3">
      <c r="C430" s="8" t="s">
        <v>104</v>
      </c>
      <c r="D430" s="11" t="s">
        <v>133</v>
      </c>
      <c r="E430" s="237">
        <f t="shared" si="92"/>
        <v>0</v>
      </c>
      <c r="F430" s="237">
        <f t="shared" si="92"/>
        <v>0</v>
      </c>
      <c r="G430" s="237">
        <f t="shared" si="92"/>
        <v>0</v>
      </c>
      <c r="H430" s="237">
        <f t="shared" si="92"/>
        <v>-4.3886640942429186E-3</v>
      </c>
      <c r="I430" s="237">
        <f t="shared" si="92"/>
        <v>-4.2336241720679624E-3</v>
      </c>
      <c r="J430" s="237">
        <f t="shared" si="92"/>
        <v>-3.5195482100201588E-3</v>
      </c>
      <c r="K430" s="237">
        <f t="shared" si="92"/>
        <v>-1.7591487072770858E-2</v>
      </c>
      <c r="L430" s="237">
        <f t="shared" si="92"/>
        <v>-4.4481647215878226E-3</v>
      </c>
      <c r="N430" s="237">
        <f t="shared" si="91"/>
        <v>-6.8859095511013997E-3</v>
      </c>
    </row>
    <row r="431" spans="2:19" outlineLevel="1" x14ac:dyDescent="0.3">
      <c r="C431" s="8" t="s">
        <v>106</v>
      </c>
      <c r="D431" s="11" t="s">
        <v>133</v>
      </c>
      <c r="E431" s="237">
        <f t="shared" si="92"/>
        <v>0</v>
      </c>
      <c r="F431" s="237">
        <f t="shared" si="92"/>
        <v>0</v>
      </c>
      <c r="G431" s="237">
        <f t="shared" si="92"/>
        <v>0</v>
      </c>
      <c r="H431" s="237">
        <f t="shared" si="92"/>
        <v>-7.4498143854514337E-3</v>
      </c>
      <c r="I431" s="237">
        <f t="shared" si="92"/>
        <v>-9.6374105878907794E-4</v>
      </c>
      <c r="J431" s="237">
        <f t="shared" si="92"/>
        <v>-1.3848919482363985E-2</v>
      </c>
      <c r="K431" s="237">
        <f t="shared" si="92"/>
        <v>-2.0100924693402255E-2</v>
      </c>
      <c r="L431" s="237">
        <f t="shared" si="92"/>
        <v>1.0574354228586226E-2</v>
      </c>
      <c r="N431" s="237">
        <f t="shared" si="91"/>
        <v>-6.2525684976133351E-3</v>
      </c>
    </row>
    <row r="432" spans="2:19" outlineLevel="1" x14ac:dyDescent="0.3">
      <c r="C432" s="8" t="s">
        <v>108</v>
      </c>
      <c r="D432" s="11" t="s">
        <v>133</v>
      </c>
      <c r="E432" s="237">
        <f t="shared" si="92"/>
        <v>0</v>
      </c>
      <c r="F432" s="237">
        <f t="shared" si="92"/>
        <v>0</v>
      </c>
      <c r="G432" s="237">
        <f t="shared" si="92"/>
        <v>0</v>
      </c>
      <c r="H432" s="237">
        <f t="shared" si="92"/>
        <v>-7.1041867052866912E-3</v>
      </c>
      <c r="I432" s="237">
        <f t="shared" si="92"/>
        <v>0</v>
      </c>
      <c r="J432" s="237">
        <f t="shared" si="92"/>
        <v>-6.8106987495565969E-3</v>
      </c>
      <c r="K432" s="237">
        <f t="shared" si="92"/>
        <v>-7.6884090228284165E-3</v>
      </c>
      <c r="L432" s="237">
        <f t="shared" si="92"/>
        <v>-1.8252157648301143E-2</v>
      </c>
      <c r="N432" s="237">
        <f t="shared" si="91"/>
        <v>-8.088745087882326E-3</v>
      </c>
    </row>
    <row r="433" spans="2:19" outlineLevel="1" x14ac:dyDescent="0.3">
      <c r="C433" s="8" t="s">
        <v>112</v>
      </c>
      <c r="D433" s="11" t="s">
        <v>133</v>
      </c>
      <c r="E433" s="237">
        <f t="shared" si="92"/>
        <v>0</v>
      </c>
      <c r="F433" s="237">
        <f t="shared" si="92"/>
        <v>0</v>
      </c>
      <c r="G433" s="237">
        <f t="shared" si="92"/>
        <v>0</v>
      </c>
      <c r="H433" s="237">
        <f t="shared" si="92"/>
        <v>-2.0582384209037779E-4</v>
      </c>
      <c r="I433" s="237">
        <f t="shared" si="92"/>
        <v>8.3906834419968069E-4</v>
      </c>
      <c r="J433" s="237">
        <f t="shared" si="92"/>
        <v>-3.5578551199056717E-3</v>
      </c>
      <c r="K433" s="237">
        <f t="shared" si="92"/>
        <v>-1.0684773003286329E-4</v>
      </c>
      <c r="L433" s="237">
        <f t="shared" si="92"/>
        <v>1.0805200791437876E-3</v>
      </c>
      <c r="N433" s="237">
        <f t="shared" si="91"/>
        <v>-3.855923431067246E-4</v>
      </c>
    </row>
    <row r="434" spans="2:19" outlineLevel="1" x14ac:dyDescent="0.3">
      <c r="C434" s="8" t="s">
        <v>114</v>
      </c>
      <c r="D434" s="11" t="s">
        <v>133</v>
      </c>
      <c r="E434" s="237">
        <f t="shared" si="92"/>
        <v>0</v>
      </c>
      <c r="F434" s="237">
        <f t="shared" si="92"/>
        <v>0</v>
      </c>
      <c r="G434" s="237">
        <f t="shared" si="92"/>
        <v>0</v>
      </c>
      <c r="H434" s="237">
        <f t="shared" si="92"/>
        <v>4.6448819424557454E-3</v>
      </c>
      <c r="I434" s="237">
        <f t="shared" si="92"/>
        <v>6.8762736291528301E-3</v>
      </c>
      <c r="J434" s="237">
        <f t="shared" si="92"/>
        <v>-2.0202433382524778E-3</v>
      </c>
      <c r="K434" s="237">
        <f t="shared" si="92"/>
        <v>1.9045609742082456E-3</v>
      </c>
      <c r="L434" s="237">
        <f t="shared" si="92"/>
        <v>7.7425887131510763E-3</v>
      </c>
      <c r="N434" s="237">
        <f t="shared" si="91"/>
        <v>3.8368363182527351E-3</v>
      </c>
    </row>
    <row r="435" spans="2:19" outlineLevel="1" x14ac:dyDescent="0.3">
      <c r="C435" s="8" t="s">
        <v>110</v>
      </c>
      <c r="D435" s="11" t="s">
        <v>133</v>
      </c>
      <c r="E435" s="237">
        <f t="shared" si="92"/>
        <v>0</v>
      </c>
      <c r="F435" s="237">
        <f t="shared" si="92"/>
        <v>0</v>
      </c>
      <c r="G435" s="237">
        <f t="shared" si="92"/>
        <v>0</v>
      </c>
      <c r="H435" s="237">
        <f t="shared" si="92"/>
        <v>2.0096919917074237E-3</v>
      </c>
      <c r="I435" s="237">
        <f t="shared" si="92"/>
        <v>3.2227691683962291E-3</v>
      </c>
      <c r="J435" s="237">
        <f t="shared" si="92"/>
        <v>3.6054614231974267E-3</v>
      </c>
      <c r="K435" s="237">
        <f t="shared" si="92"/>
        <v>-1.8055519789227303E-3</v>
      </c>
      <c r="L435" s="237">
        <f t="shared" si="92"/>
        <v>2.611957951147085E-3</v>
      </c>
      <c r="N435" s="237">
        <f t="shared" si="91"/>
        <v>1.9079032905353877E-3</v>
      </c>
    </row>
    <row r="436" spans="2:19" outlineLevel="1" x14ac:dyDescent="0.3"/>
    <row r="437" spans="2:19" outlineLevel="1" x14ac:dyDescent="0.3">
      <c r="C437" s="2" t="s">
        <v>424</v>
      </c>
      <c r="D437" s="13" t="s">
        <v>133</v>
      </c>
      <c r="E437" s="131">
        <f t="shared" si="92"/>
        <v>0</v>
      </c>
      <c r="F437" s="131">
        <f t="shared" si="92"/>
        <v>0</v>
      </c>
      <c r="G437" s="131">
        <f t="shared" si="92"/>
        <v>0</v>
      </c>
      <c r="H437" s="131">
        <f t="shared" si="92"/>
        <v>1.3828497811781925E-3</v>
      </c>
      <c r="I437" s="131">
        <f t="shared" si="92"/>
        <v>2.5301916063678472E-3</v>
      </c>
      <c r="J437" s="131">
        <f t="shared" si="92"/>
        <v>1.8740382494511598E-3</v>
      </c>
      <c r="K437" s="131">
        <f t="shared" si="92"/>
        <v>-9.5830741841174073E-4</v>
      </c>
      <c r="L437" s="131">
        <f t="shared" si="92"/>
        <v>-2.5593715769508456E-3</v>
      </c>
      <c r="N437" s="131">
        <f xml:space="preserve"> IFERROR( N393 / N415, 0 )</f>
        <v>4.2239362742027521E-4</v>
      </c>
    </row>
    <row r="438" spans="2:19" outlineLevel="1" x14ac:dyDescent="0.3"/>
    <row r="439" spans="2:19" ht="13.5" outlineLevel="1" x14ac:dyDescent="0.35">
      <c r="B439" s="31" t="s">
        <v>664</v>
      </c>
      <c r="C439" s="31"/>
      <c r="D439" s="31"/>
      <c r="E439" s="31"/>
      <c r="F439" s="31"/>
      <c r="G439" s="31"/>
      <c r="H439" s="31"/>
      <c r="I439" s="31"/>
      <c r="J439" s="31"/>
      <c r="K439" s="31"/>
      <c r="L439" s="31"/>
      <c r="M439" s="31"/>
      <c r="N439" s="31"/>
      <c r="O439" s="31"/>
      <c r="P439" s="31"/>
      <c r="Q439" s="31"/>
      <c r="R439" s="31"/>
      <c r="S439" s="31"/>
    </row>
    <row r="440" spans="2:19" outlineLevel="1" x14ac:dyDescent="0.3"/>
    <row r="441" spans="2:19" ht="50.5" outlineLevel="1" x14ac:dyDescent="0.3">
      <c r="N441" s="292" t="s">
        <v>666</v>
      </c>
      <c r="O441" s="312" t="s">
        <v>667</v>
      </c>
    </row>
    <row r="442" spans="2:19" outlineLevel="1" x14ac:dyDescent="0.3">
      <c r="C442" s="8" t="s">
        <v>80</v>
      </c>
      <c r="D442" s="11" t="s">
        <v>127</v>
      </c>
      <c r="E442" s="100">
        <f xml:space="preserve"> INPUTS│Outcomes!E429</f>
        <v>0</v>
      </c>
      <c r="F442" s="100">
        <f xml:space="preserve"> INPUTS│Outcomes!F429</f>
        <v>0</v>
      </c>
      <c r="G442" s="100">
        <f xml:space="preserve"> INPUTS│Outcomes!G429</f>
        <v>0</v>
      </c>
      <c r="H442" s="100">
        <f xml:space="preserve"> INPUTS│Outcomes!H429</f>
        <v>3.6475544000000002</v>
      </c>
      <c r="I442" s="100">
        <f xml:space="preserve"> INPUTS│Outcomes!I429</f>
        <v>3.6475544000000002</v>
      </c>
      <c r="J442" s="100">
        <f xml:space="preserve"> INPUTS│Outcomes!J429</f>
        <v>3.6475544000000002</v>
      </c>
      <c r="K442" s="100">
        <f xml:space="preserve"> INPUTS│Outcomes!K429</f>
        <v>3.6475544000000002</v>
      </c>
      <c r="L442" s="100">
        <f xml:space="preserve"> INPUTS│Outcomes!L429</f>
        <v>3.6475544000000002</v>
      </c>
      <c r="N442" s="100">
        <f xml:space="preserve"> SUM( E442:L442 )</f>
        <v>18.237772</v>
      </c>
      <c r="O442" s="237">
        <f xml:space="preserve"> N442 / N397</f>
        <v>7.2612919468671997E-3</v>
      </c>
    </row>
    <row r="443" spans="2:19" outlineLevel="1" x14ac:dyDescent="0.3">
      <c r="C443" s="8" t="s">
        <v>82</v>
      </c>
      <c r="D443" s="11" t="s">
        <v>127</v>
      </c>
      <c r="E443" s="100">
        <f xml:space="preserve"> INPUTS│Outcomes!E430</f>
        <v>0</v>
      </c>
      <c r="F443" s="100">
        <f xml:space="preserve"> INPUTS│Outcomes!F430</f>
        <v>0</v>
      </c>
      <c r="G443" s="100">
        <f xml:space="preserve"> INPUTS│Outcomes!G430</f>
        <v>0</v>
      </c>
      <c r="H443" s="100">
        <f xml:space="preserve"> INPUTS│Outcomes!H430</f>
        <v>-0.19580880000000001</v>
      </c>
      <c r="I443" s="100">
        <f xml:space="preserve"> INPUTS│Outcomes!I430</f>
        <v>-0.19580880000000001</v>
      </c>
      <c r="J443" s="100">
        <f xml:space="preserve"> INPUTS│Outcomes!J430</f>
        <v>-0.19580880000000001</v>
      </c>
      <c r="K443" s="100">
        <f xml:space="preserve"> INPUTS│Outcomes!K430</f>
        <v>-0.19580880000000001</v>
      </c>
      <c r="L443" s="100">
        <f xml:space="preserve"> INPUTS│Outcomes!L430</f>
        <v>-0.19580880000000001</v>
      </c>
      <c r="N443" s="100">
        <f t="shared" ref="N443:N460" si="93" xml:space="preserve"> SUM( E443:L443 )</f>
        <v>-0.97904400000000003</v>
      </c>
      <c r="O443" s="237">
        <f t="shared" ref="O443:O460" si="94" xml:space="preserve"> N443 / N398</f>
        <v>-5.473541417928934E-4</v>
      </c>
    </row>
    <row r="444" spans="2:19" outlineLevel="1" x14ac:dyDescent="0.3">
      <c r="C444" s="8" t="s">
        <v>85</v>
      </c>
      <c r="D444" s="11" t="s">
        <v>127</v>
      </c>
      <c r="E444" s="100">
        <f xml:space="preserve"> INPUTS│Outcomes!E431</f>
        <v>0</v>
      </c>
      <c r="F444" s="100">
        <f xml:space="preserve"> INPUTS│Outcomes!F431</f>
        <v>0</v>
      </c>
      <c r="G444" s="100">
        <f xml:space="preserve"> INPUTS│Outcomes!G431</f>
        <v>0</v>
      </c>
      <c r="H444" s="100">
        <f xml:space="preserve"> INPUTS│Outcomes!H431</f>
        <v>-5.4868479120000001E-2</v>
      </c>
      <c r="I444" s="100">
        <f xml:space="preserve"> INPUTS│Outcomes!I431</f>
        <v>-5.4868479120000001E-2</v>
      </c>
      <c r="J444" s="100">
        <f xml:space="preserve"> INPUTS│Outcomes!J431</f>
        <v>-5.4868479120000001E-2</v>
      </c>
      <c r="K444" s="100">
        <f xml:space="preserve"> INPUTS│Outcomes!K431</f>
        <v>-5.4868479120000001E-2</v>
      </c>
      <c r="L444" s="100">
        <f xml:space="preserve"> INPUTS│Outcomes!L431</f>
        <v>-5.4868479120000001E-2</v>
      </c>
      <c r="N444" s="100">
        <f t="shared" si="93"/>
        <v>-0.27434239560000001</v>
      </c>
      <c r="O444" s="237">
        <f t="shared" si="94"/>
        <v>-1.0252955829517406E-2</v>
      </c>
    </row>
    <row r="445" spans="2:19" outlineLevel="1" x14ac:dyDescent="0.3">
      <c r="C445" s="8" t="s">
        <v>87</v>
      </c>
      <c r="D445" s="11" t="s">
        <v>127</v>
      </c>
      <c r="E445" s="100">
        <f xml:space="preserve"> INPUTS│Outcomes!E432</f>
        <v>0</v>
      </c>
      <c r="F445" s="100">
        <f xml:space="preserve"> INPUTS│Outcomes!F432</f>
        <v>0</v>
      </c>
      <c r="G445" s="100">
        <f xml:space="preserve"> INPUTS│Outcomes!G432</f>
        <v>0</v>
      </c>
      <c r="H445" s="100">
        <f xml:space="preserve"> INPUTS│Outcomes!H432</f>
        <v>1.116725</v>
      </c>
      <c r="I445" s="100">
        <f xml:space="preserve"> INPUTS│Outcomes!I432</f>
        <v>1.116725</v>
      </c>
      <c r="J445" s="100">
        <f xml:space="preserve"> INPUTS│Outcomes!J432</f>
        <v>1.116725</v>
      </c>
      <c r="K445" s="100">
        <f xml:space="preserve"> INPUTS│Outcomes!K432</f>
        <v>1.116725</v>
      </c>
      <c r="L445" s="100">
        <f xml:space="preserve"> INPUTS│Outcomes!L432</f>
        <v>1.116725</v>
      </c>
      <c r="N445" s="100">
        <f t="shared" si="93"/>
        <v>5.5836249999999996</v>
      </c>
      <c r="O445" s="237">
        <f t="shared" si="94"/>
        <v>4.087310543972638E-3</v>
      </c>
    </row>
    <row r="446" spans="2:19" outlineLevel="1" x14ac:dyDescent="0.3">
      <c r="C446" s="8" t="s">
        <v>89</v>
      </c>
      <c r="D446" s="11" t="s">
        <v>127</v>
      </c>
      <c r="E446" s="100">
        <f xml:space="preserve"> INPUTS│Outcomes!E433</f>
        <v>0</v>
      </c>
      <c r="F446" s="100">
        <f xml:space="preserve"> INPUTS│Outcomes!F433</f>
        <v>0</v>
      </c>
      <c r="G446" s="100">
        <f xml:space="preserve"> INPUTS│Outcomes!G433</f>
        <v>0</v>
      </c>
      <c r="H446" s="100">
        <f xml:space="preserve"> INPUTS│Outcomes!H433</f>
        <v>-3.0650007208800001</v>
      </c>
      <c r="I446" s="100">
        <f xml:space="preserve"> INPUTS│Outcomes!I433</f>
        <v>-3.0650007208800001</v>
      </c>
      <c r="J446" s="100">
        <f xml:space="preserve"> INPUTS│Outcomes!J433</f>
        <v>-3.0650007208800001</v>
      </c>
      <c r="K446" s="100">
        <f xml:space="preserve"> INPUTS│Outcomes!K433</f>
        <v>-3.0650007208800001</v>
      </c>
      <c r="L446" s="100">
        <f xml:space="preserve"> INPUTS│Outcomes!L433</f>
        <v>-3.0650007208800001</v>
      </c>
      <c r="N446" s="100">
        <f t="shared" si="93"/>
        <v>-15.325003604400001</v>
      </c>
      <c r="O446" s="237">
        <f t="shared" si="94"/>
        <v>-5.3693376783583947E-3</v>
      </c>
    </row>
    <row r="447" spans="2:19" outlineLevel="1" x14ac:dyDescent="0.3">
      <c r="C447" s="8" t="s">
        <v>91</v>
      </c>
      <c r="D447" s="11" t="s">
        <v>127</v>
      </c>
      <c r="E447" s="100">
        <f xml:space="preserve"> INPUTS│Outcomes!E434</f>
        <v>0</v>
      </c>
      <c r="F447" s="100">
        <f xml:space="preserve"> INPUTS│Outcomes!F434</f>
        <v>0</v>
      </c>
      <c r="G447" s="100">
        <f xml:space="preserve"> INPUTS│Outcomes!G434</f>
        <v>0</v>
      </c>
      <c r="H447" s="100">
        <f xml:space="preserve"> INPUTS│Outcomes!H434</f>
        <v>-0.58092140000000003</v>
      </c>
      <c r="I447" s="100">
        <f xml:space="preserve"> INPUTS│Outcomes!I434</f>
        <v>-0.58092140000000003</v>
      </c>
      <c r="J447" s="100">
        <f xml:space="preserve"> INPUTS│Outcomes!J434</f>
        <v>-0.58092140000000003</v>
      </c>
      <c r="K447" s="100">
        <f xml:space="preserve"> INPUTS│Outcomes!K434</f>
        <v>-0.58092140000000003</v>
      </c>
      <c r="L447" s="100">
        <f xml:space="preserve"> INPUTS│Outcomes!L434</f>
        <v>-0.58092140000000003</v>
      </c>
      <c r="N447" s="100">
        <f t="shared" si="93"/>
        <v>-2.9046070000000004</v>
      </c>
      <c r="O447" s="237">
        <f t="shared" si="94"/>
        <v>-2.5954685015025986E-3</v>
      </c>
    </row>
    <row r="448" spans="2:19" outlineLevel="1" x14ac:dyDescent="0.3">
      <c r="C448" s="8" t="s">
        <v>94</v>
      </c>
      <c r="D448" s="11" t="s">
        <v>127</v>
      </c>
      <c r="E448" s="100">
        <f xml:space="preserve"> INPUTS│Outcomes!E435</f>
        <v>0</v>
      </c>
      <c r="F448" s="100">
        <f xml:space="preserve"> INPUTS│Outcomes!F435</f>
        <v>0</v>
      </c>
      <c r="G448" s="100">
        <f xml:space="preserve"> INPUTS│Outcomes!G435</f>
        <v>0</v>
      </c>
      <c r="H448" s="100">
        <f xml:space="preserve"> INPUTS│Outcomes!H435</f>
        <v>-6.4702235000000003</v>
      </c>
      <c r="I448" s="100">
        <f xml:space="preserve"> INPUTS│Outcomes!I435</f>
        <v>-6.4702235000000003</v>
      </c>
      <c r="J448" s="100">
        <f xml:space="preserve"> INPUTS│Outcomes!J435</f>
        <v>-6.4702235000000003</v>
      </c>
      <c r="K448" s="100">
        <f xml:space="preserve"> INPUTS│Outcomes!K435</f>
        <v>-6.4702235000000003</v>
      </c>
      <c r="L448" s="100">
        <f xml:space="preserve"> INPUTS│Outcomes!L435</f>
        <v>-6.4702235000000003</v>
      </c>
      <c r="N448" s="100">
        <f t="shared" si="93"/>
        <v>-32.351117500000001</v>
      </c>
      <c r="O448" s="237">
        <f t="shared" si="94"/>
        <v>-2.0451403262359037E-2</v>
      </c>
    </row>
    <row r="449" spans="2:19" outlineLevel="1" x14ac:dyDescent="0.3">
      <c r="C449" s="8" t="s">
        <v>96</v>
      </c>
      <c r="D449" s="11" t="s">
        <v>127</v>
      </c>
      <c r="E449" s="100">
        <f xml:space="preserve"> INPUTS│Outcomes!E436</f>
        <v>0</v>
      </c>
      <c r="F449" s="100">
        <f xml:space="preserve"> INPUTS│Outcomes!F436</f>
        <v>0</v>
      </c>
      <c r="G449" s="100">
        <f xml:space="preserve"> INPUTS│Outcomes!G436</f>
        <v>0</v>
      </c>
      <c r="H449" s="100">
        <f xml:space="preserve"> INPUTS│Outcomes!H436</f>
        <v>-20.19492</v>
      </c>
      <c r="I449" s="100">
        <f xml:space="preserve"> INPUTS│Outcomes!I436</f>
        <v>-20.19492</v>
      </c>
      <c r="J449" s="100">
        <f xml:space="preserve"> INPUTS│Outcomes!J436</f>
        <v>-20.19492</v>
      </c>
      <c r="K449" s="100">
        <f xml:space="preserve"> INPUTS│Outcomes!K436</f>
        <v>-20.19492</v>
      </c>
      <c r="L449" s="100">
        <f xml:space="preserve"> INPUTS│Outcomes!L436</f>
        <v>-20.19492</v>
      </c>
      <c r="N449" s="100">
        <f t="shared" si="93"/>
        <v>-100.9746</v>
      </c>
      <c r="O449" s="237">
        <f t="shared" si="94"/>
        <v>-2.2718725897986167E-2</v>
      </c>
    </row>
    <row r="450" spans="2:19" outlineLevel="1" x14ac:dyDescent="0.3">
      <c r="C450" s="8" t="s">
        <v>98</v>
      </c>
      <c r="D450" s="11" t="s">
        <v>127</v>
      </c>
      <c r="E450" s="100">
        <f xml:space="preserve"> INPUTS│Outcomes!E437</f>
        <v>0</v>
      </c>
      <c r="F450" s="100">
        <f xml:space="preserve"> INPUTS│Outcomes!F437</f>
        <v>0</v>
      </c>
      <c r="G450" s="100">
        <f xml:space="preserve"> INPUTS│Outcomes!G437</f>
        <v>0</v>
      </c>
      <c r="H450" s="100">
        <f xml:space="preserve"> INPUTS│Outcomes!H437</f>
        <v>1.2253229999999999</v>
      </c>
      <c r="I450" s="100">
        <f xml:space="preserve"> INPUTS│Outcomes!I437</f>
        <v>1.2253229999999999</v>
      </c>
      <c r="J450" s="100">
        <f xml:space="preserve"> INPUTS│Outcomes!J437</f>
        <v>1.2253229999999999</v>
      </c>
      <c r="K450" s="100">
        <f xml:space="preserve"> INPUTS│Outcomes!K437</f>
        <v>1.2253229999999999</v>
      </c>
      <c r="L450" s="100">
        <f xml:space="preserve"> INPUTS│Outcomes!L437</f>
        <v>1.2253229999999999</v>
      </c>
      <c r="N450" s="100">
        <f t="shared" si="93"/>
        <v>6.1266149999999993</v>
      </c>
      <c r="O450" s="237">
        <f t="shared" si="94"/>
        <v>1.691526001382332E-3</v>
      </c>
    </row>
    <row r="451" spans="2:19" outlineLevel="1" x14ac:dyDescent="0.3">
      <c r="C451" s="8" t="s">
        <v>100</v>
      </c>
      <c r="D451" s="11" t="s">
        <v>127</v>
      </c>
      <c r="E451" s="100">
        <f xml:space="preserve"> INPUTS│Outcomes!E438</f>
        <v>0</v>
      </c>
      <c r="F451" s="100">
        <f xml:space="preserve"> INPUTS│Outcomes!F438</f>
        <v>0</v>
      </c>
      <c r="G451" s="100">
        <f xml:space="preserve"> INPUTS│Outcomes!G438</f>
        <v>0</v>
      </c>
      <c r="H451" s="100">
        <f xml:space="preserve"> INPUTS│Outcomes!H438</f>
        <v>1.4220379226324</v>
      </c>
      <c r="I451" s="100">
        <f xml:space="preserve"> INPUTS│Outcomes!I438</f>
        <v>1.4220379226324</v>
      </c>
      <c r="J451" s="100">
        <f xml:space="preserve"> INPUTS│Outcomes!J438</f>
        <v>1.4220379226324</v>
      </c>
      <c r="K451" s="100">
        <f xml:space="preserve"> INPUTS│Outcomes!K438</f>
        <v>1.4220379226324</v>
      </c>
      <c r="L451" s="100">
        <f xml:space="preserve"> INPUTS│Outcomes!L438</f>
        <v>1.4220379226324</v>
      </c>
      <c r="N451" s="100">
        <f t="shared" si="93"/>
        <v>7.1101896131620004</v>
      </c>
      <c r="O451" s="237">
        <f t="shared" si="94"/>
        <v>7.0275969763490681E-3</v>
      </c>
    </row>
    <row r="452" spans="2:19" outlineLevel="1" x14ac:dyDescent="0.3">
      <c r="C452" s="8" t="s">
        <v>102</v>
      </c>
      <c r="D452" s="11" t="s">
        <v>127</v>
      </c>
      <c r="E452" s="100">
        <f xml:space="preserve"> INPUTS│Outcomes!E439</f>
        <v>0</v>
      </c>
      <c r="F452" s="100">
        <f xml:space="preserve"> INPUTS│Outcomes!F439</f>
        <v>0</v>
      </c>
      <c r="G452" s="100">
        <f xml:space="preserve"> INPUTS│Outcomes!G439</f>
        <v>0</v>
      </c>
      <c r="H452" s="100">
        <f xml:space="preserve"> INPUTS│Outcomes!H439</f>
        <v>-1.1051431437619901</v>
      </c>
      <c r="I452" s="100">
        <f xml:space="preserve"> INPUTS│Outcomes!I439</f>
        <v>-1.1051431437619901</v>
      </c>
      <c r="J452" s="100">
        <f xml:space="preserve"> INPUTS│Outcomes!J439</f>
        <v>-1.1051431437619901</v>
      </c>
      <c r="K452" s="100">
        <f xml:space="preserve"> INPUTS│Outcomes!K439</f>
        <v>-1.1051431437619901</v>
      </c>
      <c r="L452" s="100">
        <f xml:space="preserve"> INPUTS│Outcomes!L439</f>
        <v>-1.1051431437619901</v>
      </c>
      <c r="N452" s="100">
        <f t="shared" si="93"/>
        <v>-5.5257157188099502</v>
      </c>
      <c r="O452" s="237">
        <f t="shared" si="94"/>
        <v>-2.6292723996304895E-3</v>
      </c>
    </row>
    <row r="453" spans="2:19" outlineLevel="1" x14ac:dyDescent="0.3">
      <c r="C453" s="8" t="s">
        <v>104</v>
      </c>
      <c r="D453" s="11" t="s">
        <v>127</v>
      </c>
      <c r="E453" s="100">
        <f xml:space="preserve"> INPUTS│Outcomes!E440</f>
        <v>0</v>
      </c>
      <c r="F453" s="100">
        <f xml:space="preserve"> INPUTS│Outcomes!F440</f>
        <v>0</v>
      </c>
      <c r="G453" s="100">
        <f xml:space="preserve"> INPUTS│Outcomes!G440</f>
        <v>0</v>
      </c>
      <c r="H453" s="100">
        <f xml:space="preserve"> INPUTS│Outcomes!H440</f>
        <v>-2.2383752000000001</v>
      </c>
      <c r="I453" s="100">
        <f xml:space="preserve"> INPUTS│Outcomes!I440</f>
        <v>-2.2383752000000001</v>
      </c>
      <c r="J453" s="100">
        <f xml:space="preserve"> INPUTS│Outcomes!J440</f>
        <v>-2.2383752000000001</v>
      </c>
      <c r="K453" s="100">
        <f xml:space="preserve"> INPUTS│Outcomes!K440</f>
        <v>-2.2383752000000001</v>
      </c>
      <c r="L453" s="100">
        <f xml:space="preserve"> INPUTS│Outcomes!L440</f>
        <v>-2.2383752000000001</v>
      </c>
      <c r="N453" s="100">
        <f t="shared" si="93"/>
        <v>-11.191876000000001</v>
      </c>
      <c r="O453" s="237">
        <f t="shared" si="94"/>
        <v>-2.8802812715841956E-2</v>
      </c>
    </row>
    <row r="454" spans="2:19" outlineLevel="1" x14ac:dyDescent="0.3">
      <c r="C454" s="8" t="s">
        <v>106</v>
      </c>
      <c r="D454" s="11" t="s">
        <v>127</v>
      </c>
      <c r="E454" s="100">
        <f xml:space="preserve"> INPUTS│Outcomes!E441</f>
        <v>0</v>
      </c>
      <c r="F454" s="100">
        <f xml:space="preserve"> INPUTS│Outcomes!F441</f>
        <v>0</v>
      </c>
      <c r="G454" s="100">
        <f xml:space="preserve"> INPUTS│Outcomes!G441</f>
        <v>0</v>
      </c>
      <c r="H454" s="100">
        <f xml:space="preserve"> INPUTS│Outcomes!H441</f>
        <v>1.6780799999999998E-2</v>
      </c>
      <c r="I454" s="100">
        <f xml:space="preserve"> INPUTS│Outcomes!I441</f>
        <v>1.6780799999999998E-2</v>
      </c>
      <c r="J454" s="100">
        <f xml:space="preserve"> INPUTS│Outcomes!J441</f>
        <v>1.6780799999999998E-2</v>
      </c>
      <c r="K454" s="100">
        <f xml:space="preserve"> INPUTS│Outcomes!K441</f>
        <v>1.6780799999999998E-2</v>
      </c>
      <c r="L454" s="100">
        <f xml:space="preserve"> INPUTS│Outcomes!L441</f>
        <v>1.6780799999999998E-2</v>
      </c>
      <c r="N454" s="100">
        <f t="shared" si="93"/>
        <v>8.3903999999999992E-2</v>
      </c>
      <c r="O454" s="237">
        <f t="shared" si="94"/>
        <v>5.1458117432442291E-4</v>
      </c>
    </row>
    <row r="455" spans="2:19" outlineLevel="1" x14ac:dyDescent="0.3">
      <c r="C455" s="8" t="s">
        <v>108</v>
      </c>
      <c r="D455" s="11" t="s">
        <v>127</v>
      </c>
      <c r="E455" s="100">
        <f xml:space="preserve"> INPUTS│Outcomes!E442</f>
        <v>0</v>
      </c>
      <c r="F455" s="100">
        <f xml:space="preserve"> INPUTS│Outcomes!F442</f>
        <v>0</v>
      </c>
      <c r="G455" s="100">
        <f xml:space="preserve"> INPUTS│Outcomes!G442</f>
        <v>0</v>
      </c>
      <c r="H455" s="100">
        <f xml:space="preserve"> INPUTS│Outcomes!H442</f>
        <v>0.28211999999999998</v>
      </c>
      <c r="I455" s="100">
        <f xml:space="preserve"> INPUTS│Outcomes!I442</f>
        <v>0.28211999999999998</v>
      </c>
      <c r="J455" s="100">
        <f xml:space="preserve"> INPUTS│Outcomes!J442</f>
        <v>0.28211999999999998</v>
      </c>
      <c r="K455" s="100">
        <f xml:space="preserve"> INPUTS│Outcomes!K442</f>
        <v>0.28211999999999998</v>
      </c>
      <c r="L455" s="100">
        <f xml:space="preserve"> INPUTS│Outcomes!L442</f>
        <v>0.28211999999999998</v>
      </c>
      <c r="N455" s="100">
        <f t="shared" si="93"/>
        <v>1.4105999999999999</v>
      </c>
      <c r="O455" s="237">
        <f t="shared" si="94"/>
        <v>3.0163804284923334E-2</v>
      </c>
    </row>
    <row r="456" spans="2:19" outlineLevel="1" x14ac:dyDescent="0.3">
      <c r="C456" s="8" t="s">
        <v>112</v>
      </c>
      <c r="D456" s="11" t="s">
        <v>127</v>
      </c>
      <c r="E456" s="100">
        <f xml:space="preserve"> INPUTS│Outcomes!E443</f>
        <v>0</v>
      </c>
      <c r="F456" s="100">
        <f xml:space="preserve"> INPUTS│Outcomes!F443</f>
        <v>0</v>
      </c>
      <c r="G456" s="100">
        <f xml:space="preserve"> INPUTS│Outcomes!G443</f>
        <v>0</v>
      </c>
      <c r="H456" s="100">
        <f xml:space="preserve"> INPUTS│Outcomes!H443</f>
        <v>-9.9967500000000001E-2</v>
      </c>
      <c r="I456" s="100">
        <f xml:space="preserve"> INPUTS│Outcomes!I443</f>
        <v>-9.9967500000000001E-2</v>
      </c>
      <c r="J456" s="100">
        <f xml:space="preserve"> INPUTS│Outcomes!J443</f>
        <v>-9.9967500000000001E-2</v>
      </c>
      <c r="K456" s="100">
        <f xml:space="preserve"> INPUTS│Outcomes!K443</f>
        <v>-9.9967500000000001E-2</v>
      </c>
      <c r="L456" s="100">
        <f xml:space="preserve"> INPUTS│Outcomes!L443</f>
        <v>-9.9967500000000001E-2</v>
      </c>
      <c r="N456" s="100">
        <f t="shared" si="93"/>
        <v>-0.49983749999999999</v>
      </c>
      <c r="O456" s="237">
        <f t="shared" si="94"/>
        <v>-1.1774074279381702E-3</v>
      </c>
    </row>
    <row r="457" spans="2:19" outlineLevel="1" x14ac:dyDescent="0.3">
      <c r="C457" s="8" t="s">
        <v>114</v>
      </c>
      <c r="D457" s="11" t="s">
        <v>127</v>
      </c>
      <c r="E457" s="100">
        <f xml:space="preserve"> INPUTS│Outcomes!E444</f>
        <v>0</v>
      </c>
      <c r="F457" s="100">
        <f xml:space="preserve"> INPUTS│Outcomes!F444</f>
        <v>0</v>
      </c>
      <c r="G457" s="100">
        <f xml:space="preserve"> INPUTS│Outcomes!G444</f>
        <v>0</v>
      </c>
      <c r="H457" s="100">
        <f xml:space="preserve"> INPUTS│Outcomes!H444</f>
        <v>0.31500351220128098</v>
      </c>
      <c r="I457" s="100">
        <f xml:space="preserve"> INPUTS│Outcomes!I444</f>
        <v>0.31500351220128098</v>
      </c>
      <c r="J457" s="100">
        <f xml:space="preserve"> INPUTS│Outcomes!J444</f>
        <v>0.31500351220128098</v>
      </c>
      <c r="K457" s="100">
        <f xml:space="preserve"> INPUTS│Outcomes!K444</f>
        <v>0.31500351220128098</v>
      </c>
      <c r="L457" s="100">
        <f xml:space="preserve"> INPUTS│Outcomes!L444</f>
        <v>0.31500351220128098</v>
      </c>
      <c r="N457" s="100">
        <f t="shared" si="93"/>
        <v>1.5750175610064048</v>
      </c>
      <c r="O457" s="237">
        <f t="shared" si="94"/>
        <v>1.3172446556985478E-2</v>
      </c>
    </row>
    <row r="458" spans="2:19" outlineLevel="1" x14ac:dyDescent="0.3">
      <c r="C458" s="8" t="s">
        <v>110</v>
      </c>
      <c r="D458" s="11" t="s">
        <v>127</v>
      </c>
      <c r="E458" s="100">
        <f xml:space="preserve"> INPUTS│Outcomes!E445</f>
        <v>0</v>
      </c>
      <c r="F458" s="100">
        <f xml:space="preserve"> INPUTS│Outcomes!F445</f>
        <v>0</v>
      </c>
      <c r="G458" s="100">
        <f xml:space="preserve"> INPUTS│Outcomes!G445</f>
        <v>0</v>
      </c>
      <c r="H458" s="100">
        <f xml:space="preserve"> INPUTS│Outcomes!H445</f>
        <v>-0.44376700000000002</v>
      </c>
      <c r="I458" s="100">
        <f xml:space="preserve"> INPUTS│Outcomes!I445</f>
        <v>-0.44376700000000002</v>
      </c>
      <c r="J458" s="100">
        <f xml:space="preserve"> INPUTS│Outcomes!J445</f>
        <v>-0.44376700000000002</v>
      </c>
      <c r="K458" s="100">
        <f xml:space="preserve"> INPUTS│Outcomes!K445</f>
        <v>-0.44376700000000002</v>
      </c>
      <c r="L458" s="100">
        <f xml:space="preserve"> INPUTS│Outcomes!L445</f>
        <v>-0.44376700000000002</v>
      </c>
      <c r="N458" s="100">
        <f t="shared" si="93"/>
        <v>-2.2188350000000003</v>
      </c>
      <c r="O458" s="237">
        <f t="shared" si="94"/>
        <v>-2.7403693666850644E-2</v>
      </c>
    </row>
    <row r="459" spans="2:19" outlineLevel="1" x14ac:dyDescent="0.3"/>
    <row r="460" spans="2:19" outlineLevel="1" x14ac:dyDescent="0.3">
      <c r="C460" s="2" t="s">
        <v>424</v>
      </c>
      <c r="D460" s="13" t="s">
        <v>127</v>
      </c>
      <c r="E460" s="100">
        <f xml:space="preserve"> SUM( E442:E458 )</f>
        <v>0</v>
      </c>
      <c r="F460" s="100">
        <f t="shared" ref="F460:L460" si="95" xml:space="preserve"> SUM( F442:F458 )</f>
        <v>0</v>
      </c>
      <c r="G460" s="100">
        <f t="shared" si="95"/>
        <v>0</v>
      </c>
      <c r="H460" s="100">
        <f t="shared" si="95"/>
        <v>-26.423451108928315</v>
      </c>
      <c r="I460" s="100">
        <f t="shared" si="95"/>
        <v>-26.423451108928315</v>
      </c>
      <c r="J460" s="100">
        <f t="shared" si="95"/>
        <v>-26.423451108928315</v>
      </c>
      <c r="K460" s="100">
        <f t="shared" si="95"/>
        <v>-26.423451108928315</v>
      </c>
      <c r="L460" s="100">
        <f t="shared" si="95"/>
        <v>-26.423451108928315</v>
      </c>
      <c r="N460" s="100">
        <f t="shared" si="93"/>
        <v>-132.11725554464158</v>
      </c>
      <c r="O460" s="237">
        <f t="shared" si="94"/>
        <v>-5.5859713713850229E-3</v>
      </c>
    </row>
    <row r="462" spans="2:19" x14ac:dyDescent="0.3">
      <c r="B462" s="17" t="s">
        <v>25</v>
      </c>
      <c r="C462" s="17"/>
      <c r="D462" s="74"/>
      <c r="E462" s="17"/>
      <c r="F462" s="17"/>
      <c r="G462" s="17"/>
      <c r="H462" s="17"/>
      <c r="I462" s="17"/>
      <c r="J462" s="17"/>
      <c r="K462" s="17"/>
      <c r="L462" s="17"/>
      <c r="M462" s="17"/>
      <c r="N462" s="17"/>
      <c r="O462" s="140"/>
      <c r="P462" s="17"/>
      <c r="Q462" s="17"/>
      <c r="R462" s="140"/>
      <c r="S462" s="17"/>
    </row>
  </sheetData>
  <mergeCells count="2">
    <mergeCell ref="N2:O2"/>
    <mergeCell ref="Q2:R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Below="0"/>
  </sheetPr>
  <dimension ref="B1:Z128"/>
  <sheetViews>
    <sheetView showGridLines="0" workbookViewId="0">
      <pane ySplit="6" topLeftCell="A7" activePane="bottomLeft" state="frozen"/>
      <selection pane="bottomLeft" activeCell="A7" sqref="A7"/>
    </sheetView>
  </sheetViews>
  <sheetFormatPr defaultColWidth="9" defaultRowHeight="12.5" outlineLevelRow="1" x14ac:dyDescent="0.25"/>
  <cols>
    <col min="1" max="2" width="2.58203125" style="8" customWidth="1"/>
    <col min="3" max="3" width="9" style="8"/>
    <col min="4" max="4" width="7.58203125" style="8" customWidth="1"/>
    <col min="5" max="5" width="2.58203125" style="8" customWidth="1"/>
    <col min="6" max="12" width="7.58203125" style="8" customWidth="1"/>
    <col min="13" max="13" width="2.58203125" style="8" customWidth="1"/>
    <col min="14" max="20" width="7.58203125" style="8" customWidth="1"/>
    <col min="21" max="21" width="2.58203125" style="8" customWidth="1"/>
    <col min="22" max="25" width="8.58203125" style="8" customWidth="1"/>
    <col min="26" max="26" width="2.58203125" style="8" customWidth="1"/>
    <col min="27" max="16384" width="9" style="8"/>
  </cols>
  <sheetData>
    <row r="1" spans="2:26" ht="4.1500000000000004" customHeight="1" x14ac:dyDescent="0.25"/>
    <row r="2" spans="2:26" s="214" customFormat="1" ht="16.149999999999999" customHeight="1" x14ac:dyDescent="0.3">
      <c r="B2" s="283"/>
      <c r="C2" s="283"/>
      <c r="D2" s="407" t="s">
        <v>583</v>
      </c>
      <c r="E2" s="407"/>
      <c r="F2" s="407"/>
      <c r="G2" s="407"/>
      <c r="H2" s="407"/>
      <c r="I2" s="407"/>
      <c r="J2" s="407"/>
      <c r="K2" s="407"/>
      <c r="L2" s="407"/>
      <c r="M2" s="407"/>
      <c r="N2" s="407"/>
      <c r="O2" s="407"/>
      <c r="P2" s="407"/>
      <c r="Q2" s="407"/>
      <c r="R2" s="407"/>
      <c r="S2" s="407"/>
      <c r="T2" s="407"/>
      <c r="U2" s="283"/>
      <c r="V2" s="407" t="s">
        <v>584</v>
      </c>
      <c r="W2" s="407"/>
      <c r="X2" s="407"/>
      <c r="Y2" s="407"/>
      <c r="Z2" s="283"/>
    </row>
    <row r="3" spans="2:26" ht="4.1500000000000004" customHeight="1" x14ac:dyDescent="0.25"/>
    <row r="4" spans="2:26" x14ac:dyDescent="0.25">
      <c r="D4" s="409" t="s">
        <v>585</v>
      </c>
      <c r="F4" s="408" t="str">
        <f xml:space="preserve"> Last_year</f>
        <v>2018-19</v>
      </c>
      <c r="G4" s="408"/>
      <c r="H4" s="408" t="str">
        <f xml:space="preserve"> Last_year</f>
        <v>2018-19</v>
      </c>
      <c r="I4" s="408"/>
      <c r="J4" s="408" t="str">
        <f xml:space="preserve"> Last_year</f>
        <v>2018-19</v>
      </c>
      <c r="K4" s="408"/>
      <c r="L4" s="287" t="str">
        <f xml:space="preserve"> Last_year</f>
        <v>2018-19</v>
      </c>
      <c r="N4" s="408" t="str">
        <f>Year</f>
        <v>2019-20</v>
      </c>
      <c r="O4" s="408"/>
      <c r="P4" s="408" t="str">
        <f>Year</f>
        <v>2019-20</v>
      </c>
      <c r="Q4" s="408"/>
      <c r="R4" s="408" t="str">
        <f>Year</f>
        <v>2019-20</v>
      </c>
      <c r="S4" s="408"/>
      <c r="T4" s="287" t="str">
        <f>Year</f>
        <v>2019-20</v>
      </c>
      <c r="V4" s="408" t="str">
        <f>Year</f>
        <v>2019-20</v>
      </c>
      <c r="W4" s="408"/>
      <c r="X4" s="408" t="str">
        <f>Year</f>
        <v>2019-20</v>
      </c>
      <c r="Y4" s="408"/>
    </row>
    <row r="5" spans="2:26" ht="12.75" customHeight="1" x14ac:dyDescent="0.25">
      <c r="D5" s="409"/>
      <c r="F5" s="408" t="s">
        <v>586</v>
      </c>
      <c r="G5" s="408"/>
      <c r="H5" s="408" t="s">
        <v>587</v>
      </c>
      <c r="I5" s="408"/>
      <c r="J5" s="408" t="s">
        <v>588</v>
      </c>
      <c r="K5" s="408"/>
      <c r="L5" s="409" t="s">
        <v>589</v>
      </c>
      <c r="N5" s="408" t="s">
        <v>586</v>
      </c>
      <c r="O5" s="408"/>
      <c r="P5" s="408" t="s">
        <v>587</v>
      </c>
      <c r="Q5" s="408"/>
      <c r="R5" s="408" t="s">
        <v>588</v>
      </c>
      <c r="S5" s="408"/>
      <c r="T5" s="409" t="s">
        <v>589</v>
      </c>
      <c r="V5" s="408" t="s">
        <v>586</v>
      </c>
      <c r="W5" s="408"/>
      <c r="X5" s="408" t="s">
        <v>587</v>
      </c>
      <c r="Y5" s="408"/>
    </row>
    <row r="6" spans="2:26" x14ac:dyDescent="0.25">
      <c r="D6" s="409"/>
      <c r="F6" s="287" t="s">
        <v>590</v>
      </c>
      <c r="G6" s="287" t="s">
        <v>591</v>
      </c>
      <c r="H6" s="287" t="s">
        <v>590</v>
      </c>
      <c r="I6" s="287" t="s">
        <v>591</v>
      </c>
      <c r="J6" s="287" t="s">
        <v>590</v>
      </c>
      <c r="K6" s="287" t="s">
        <v>591</v>
      </c>
      <c r="L6" s="409"/>
      <c r="N6" s="287" t="s">
        <v>590</v>
      </c>
      <c r="O6" s="287" t="s">
        <v>591</v>
      </c>
      <c r="P6" s="287" t="s">
        <v>590</v>
      </c>
      <c r="Q6" s="287" t="s">
        <v>591</v>
      </c>
      <c r="R6" s="287" t="s">
        <v>590</v>
      </c>
      <c r="S6" s="287" t="s">
        <v>591</v>
      </c>
      <c r="T6" s="409"/>
      <c r="V6" s="287" t="s">
        <v>590</v>
      </c>
      <c r="W6" s="287" t="s">
        <v>591</v>
      </c>
      <c r="X6" s="287" t="s">
        <v>590</v>
      </c>
      <c r="Y6" s="287" t="s">
        <v>591</v>
      </c>
    </row>
    <row r="8" spans="2:26" ht="13.5" x14ac:dyDescent="0.35">
      <c r="B8" s="9" t="s">
        <v>162</v>
      </c>
      <c r="C8" s="9"/>
      <c r="D8" s="10"/>
      <c r="E8" s="9"/>
      <c r="F8" s="9"/>
      <c r="G8" s="9"/>
      <c r="H8" s="9"/>
      <c r="I8" s="9"/>
      <c r="J8" s="9"/>
      <c r="K8" s="9"/>
      <c r="L8" s="9"/>
      <c r="M8" s="9"/>
      <c r="N8" s="9"/>
      <c r="O8" s="9"/>
      <c r="P8" s="9"/>
      <c r="Q8" s="9"/>
      <c r="R8" s="9"/>
      <c r="S8" s="9"/>
      <c r="T8" s="9"/>
      <c r="U8" s="9"/>
      <c r="V8" s="9"/>
      <c r="W8" s="9"/>
      <c r="X8" s="9"/>
      <c r="Y8" s="9"/>
      <c r="Z8" s="9"/>
    </row>
    <row r="9" spans="2:26" outlineLevel="1" x14ac:dyDescent="0.25"/>
    <row r="10" spans="2:26" outlineLevel="1" x14ac:dyDescent="0.25">
      <c r="C10" s="83" t="s">
        <v>80</v>
      </c>
      <c r="D10" s="171">
        <f xml:space="preserve"> COUNTIF( 'INPUTS│Performance Commitments'!$C$9:$C$30, C10 )</f>
        <v>1</v>
      </c>
      <c r="F10" s="100">
        <f xml:space="preserve"> _xlfn.IFNA( VLOOKUP( $C10, 'INPUTS│Performance Commitments'!$C$34:$I$55, MATCH( F$4, 'INPUTS│Performance Commitments'!$G$3:$I$3, 0 ) + 4, 0 ), "-" )</f>
        <v>186</v>
      </c>
      <c r="G10" s="100" t="str">
        <f ca="1" xml:space="preserve"> IF( $D10 &gt; 1, OFFSET( 'INPUTS│Performance Commitments'!$F$34, MATCH( $C10, 'INPUTS│Performance Commitments'!$C$34:$C$55, 0 ), MATCH( $F$4, 'INPUTS│Performance Commitments'!$G$3:$I$3, 0 ) ), "-" )</f>
        <v>-</v>
      </c>
      <c r="H10" s="100">
        <f xml:space="preserve"> _xlfn.IFNA( VLOOKUP( $C10, 'INPUTS│Performance Commitments'!$C$9:$I$30, MATCH( H$4, 'INPUTS│Performance Commitments'!$G$3:$I$3, 0 ) + 4, 0 ), "-" )</f>
        <v>192</v>
      </c>
      <c r="I10" s="100" t="str">
        <f ca="1" xml:space="preserve"> IF( $D10 &gt; 1, OFFSET( 'INPUTS│Performance Commitments'!$F$9, MATCH( $C10, 'INPUTS│Performance Commitments'!$C$34:$C$55, 0 ), MATCH( $H$4, 'INPUTS│Performance Commitments'!$G$3:$I$3, 0 ) ), "-" )</f>
        <v>-</v>
      </c>
      <c r="J10" s="77" t="str">
        <f t="shared" ref="J10:K14" si="0" xml:space="preserve"> IF( H10 &lt;&gt; "-", IF( F10 &lt;= H10, "Met", "Failed" ), "-" )</f>
        <v>Met</v>
      </c>
      <c r="K10" s="77" t="str">
        <f t="shared" ca="1" si="0"/>
        <v>-</v>
      </c>
      <c r="L10" s="238">
        <f ca="1" xml:space="preserve"> IF( H10 = "-", "-", COUNTIF( J10:K10, "Met" ) / $D10 )</f>
        <v>1</v>
      </c>
      <c r="N10" s="100">
        <f xml:space="preserve"> _xlfn.IFNA( VLOOKUP( $C10, 'INPUTS│Performance Commitments'!$C$34:$I$55, MATCH( N$4, 'INPUTS│Performance Commitments'!$G$3:$I$3, 0 ) + 4, 0 ), "-" )</f>
        <v>185</v>
      </c>
      <c r="O10" s="100" t="str">
        <f ca="1" xml:space="preserve"> IF( $D10 &gt; 1, OFFSET( 'INPUTS│Performance Commitments'!$F$34, MATCH( $C10, 'INPUTS│Performance Commitments'!$C$34:$C$55, 0 ), MATCH( $N$4, 'INPUTS│Performance Commitments'!$G$3:$I$3, 0 ) ), "-" )</f>
        <v>-</v>
      </c>
      <c r="P10" s="100">
        <f xml:space="preserve"> _xlfn.IFNA( VLOOKUP( $C10, 'INPUTS│Performance Commitments'!$C$9:$I$30, MATCH( P$4, 'INPUTS│Performance Commitments'!$G$3:$I$3, 0 ) + 4, 0 ), "-" )</f>
        <v>192</v>
      </c>
      <c r="Q10" s="100" t="str">
        <f ca="1" xml:space="preserve"> IF( $D10 &gt; 1, OFFSET( 'INPUTS│Performance Commitments'!$F$9, MATCH( $C10, 'INPUTS│Performance Commitments'!$C$34:$C$55, 0 ), MATCH( $P$4, 'INPUTS│Performance Commitments'!$G$3:$I$3, 0 ) ), "-" )</f>
        <v>-</v>
      </c>
      <c r="R10" s="77" t="str">
        <f t="shared" ref="R10:S14" si="1" xml:space="preserve"> IF( P10 &lt;&gt; "-", IF( N10 &lt;= P10, "Met", "Failed" ), "-" )</f>
        <v>Met</v>
      </c>
      <c r="S10" s="77" t="str">
        <f t="shared" ca="1" si="1"/>
        <v>-</v>
      </c>
      <c r="T10" s="238">
        <f ca="1" xml:space="preserve"> IF( P10 = "-", "-", COUNTIF( R10:S10, "Met" ) / $D10 )</f>
        <v>1</v>
      </c>
      <c r="U10" s="47"/>
      <c r="V10" s="229">
        <f xml:space="preserve"> _xlfn.IFNA( VLOOKUP( $C10, 'INPUTS│Performance Commitments'!$C$34:$L$55, MATCH( V$4, 'INPUTS│Performance Commitments'!$K$3:$L$3, 0 ) + 8, 0 ), "-" )</f>
        <v>185</v>
      </c>
      <c r="W10" s="229" t="str">
        <f ca="1" xml:space="preserve"> IF( $D10 &gt; 1, OFFSET( 'INPUTS│Performance Commitments'!$J$34, MATCH( $C10, 'INPUTS│Performance Commitments'!$C$34:$C$55, 0 ), MATCH( $V$4, 'INPUTS│Performance Commitments'!$K$3:$L$3, 0 ) ), "-" )</f>
        <v>-</v>
      </c>
      <c r="X10" s="229">
        <f xml:space="preserve"> _xlfn.IFNA( VLOOKUP( $C10, 'INPUTS│Performance Commitments'!$C$9:$L$30, MATCH( X$4, 'INPUTS│Performance Commitments'!$K$3:$L$3, 0 ) + 8, 0 ), "-" )</f>
        <v>192</v>
      </c>
      <c r="Y10" s="229" t="str">
        <f ca="1" xml:space="preserve"> IF( $D10 &gt; 1, OFFSET( 'INPUTS│Performance Commitments'!$J$9, MATCH( $C10, 'INPUTS│Performance Commitments'!$C$34:$C$55, 0 ), MATCH( $X$4, 'INPUTS│Performance Commitments'!$K$3:$L$3, 0 ) ), "-" )</f>
        <v>-</v>
      </c>
    </row>
    <row r="11" spans="2:26" outlineLevel="1" x14ac:dyDescent="0.25">
      <c r="C11" s="8" t="s">
        <v>82</v>
      </c>
      <c r="D11" s="171">
        <f xml:space="preserve"> COUNTIF( 'INPUTS│Performance Commitments'!$C$9:$C$30, C11 )</f>
        <v>1</v>
      </c>
      <c r="F11" s="100">
        <f xml:space="preserve"> _xlfn.IFNA( VLOOKUP( $C11, 'INPUTS│Performance Commitments'!$C$34:$I$55, MATCH( F$4, 'INPUTS│Performance Commitments'!$G$3:$I$3, 0 ) + 4, 0 ), "-" )</f>
        <v>170</v>
      </c>
      <c r="G11" s="100" t="str">
        <f ca="1" xml:space="preserve"> IF( $D11 &gt; 1, OFFSET( 'INPUTS│Performance Commitments'!$F$34, MATCH( $C11, 'INPUTS│Performance Commitments'!$C$34:$C$55, 0 ), MATCH( $F$4, 'INPUTS│Performance Commitments'!$G$3:$I$3, 0 ) ), "-" )</f>
        <v>-</v>
      </c>
      <c r="H11" s="100">
        <f xml:space="preserve"> _xlfn.IFNA( VLOOKUP( $C11, 'INPUTS│Performance Commitments'!$C$9:$I$30, MATCH( H$4, 'INPUTS│Performance Commitments'!$G$3:$I$3, 0 ) + 4, 0 ), "-" )</f>
        <v>171</v>
      </c>
      <c r="I11" s="100" t="str">
        <f ca="1" xml:space="preserve"> IF( $D11 &gt; 1, OFFSET( 'INPUTS│Performance Commitments'!$F$9, MATCH( $C11, 'INPUTS│Performance Commitments'!$C$34:$C$55, 0 ), MATCH( $H$4, 'INPUTS│Performance Commitments'!$G$3:$I$3, 0 ) ), "-" )</f>
        <v>-</v>
      </c>
      <c r="J11" s="77" t="str">
        <f t="shared" si="0"/>
        <v>Met</v>
      </c>
      <c r="K11" s="77" t="str">
        <f t="shared" ca="1" si="0"/>
        <v>-</v>
      </c>
      <c r="L11" s="238">
        <f ca="1" xml:space="preserve"> IF( H11 = "-", "-", COUNTIF( J11:K11, "Met" ) / $D11 )</f>
        <v>1</v>
      </c>
      <c r="N11" s="100">
        <f xml:space="preserve"> _xlfn.IFNA( VLOOKUP( $C11, 'INPUTS│Performance Commitments'!$C$34:$I$55, MATCH( N$4, 'INPUTS│Performance Commitments'!$G$3:$I$3, 0 ) + 4, 0 ), "-" )</f>
        <v>167.9</v>
      </c>
      <c r="O11" s="100" t="str">
        <f ca="1" xml:space="preserve"> IF( $D11 &gt; 1, OFFSET( 'INPUTS│Performance Commitments'!$F$34, MATCH( $C11, 'INPUTS│Performance Commitments'!$C$34:$C$55, 0 ), MATCH( $N$4, 'INPUTS│Performance Commitments'!$G$3:$I$3, 0 ) ), "-" )</f>
        <v>-</v>
      </c>
      <c r="P11" s="100">
        <f xml:space="preserve"> _xlfn.IFNA( VLOOKUP( $C11, 'INPUTS│Performance Commitments'!$C$9:$I$30, MATCH( P$4, 'INPUTS│Performance Commitments'!$G$3:$I$3, 0 ) + 4, 0 ), "-" )</f>
        <v>169</v>
      </c>
      <c r="Q11" s="100" t="str">
        <f ca="1" xml:space="preserve"> IF( $D11 &gt; 1, OFFSET( 'INPUTS│Performance Commitments'!$F$9, MATCH( $C11, 'INPUTS│Performance Commitments'!$C$34:$C$55, 0 ), MATCH( $P$4, 'INPUTS│Performance Commitments'!$G$3:$I$3, 0 ) ), "-" )</f>
        <v>-</v>
      </c>
      <c r="R11" s="77" t="str">
        <f t="shared" si="1"/>
        <v>Met</v>
      </c>
      <c r="S11" s="77" t="str">
        <f t="shared" ca="1" si="1"/>
        <v>-</v>
      </c>
      <c r="T11" s="238">
        <f ca="1" xml:space="preserve"> IF( P11 = "-", "-", COUNTIF( R11:S11, "Met" ) / $D11 )</f>
        <v>1</v>
      </c>
      <c r="U11" s="47"/>
      <c r="V11" s="229">
        <f xml:space="preserve"> _xlfn.IFNA( VLOOKUP( $C11, 'INPUTS│Performance Commitments'!$C$34:$L$55, MATCH( V$4, 'INPUTS│Performance Commitments'!$K$3:$L$3, 0 ) + 8, 0 ), "-" )</f>
        <v>167.9</v>
      </c>
      <c r="W11" s="229" t="str">
        <f ca="1" xml:space="preserve"> IF( $D11 &gt; 1, OFFSET( 'INPUTS│Performance Commitments'!$J$34, MATCH( $C11, 'INPUTS│Performance Commitments'!$C$34:$C$55, 0 ), MATCH( $V$4, 'INPUTS│Performance Commitments'!$K$3:$L$3, 0 ) ), "-" )</f>
        <v>-</v>
      </c>
      <c r="X11" s="229">
        <f xml:space="preserve"> _xlfn.IFNA( VLOOKUP( $C11, 'INPUTS│Performance Commitments'!$C$9:$L$30, MATCH( X$4, 'INPUTS│Performance Commitments'!$K$3:$L$3, 0 ) + 8, 0 ), "-" )</f>
        <v>169</v>
      </c>
      <c r="Y11" s="229" t="str">
        <f ca="1" xml:space="preserve"> IF( $D11 &gt; 1, OFFSET( 'INPUTS│Performance Commitments'!$J$9, MATCH( $C11, 'INPUTS│Performance Commitments'!$C$34:$C$55, 0 ), MATCH( $X$4, 'INPUTS│Performance Commitments'!$K$3:$L$3, 0 ) ), "-" )</f>
        <v>-</v>
      </c>
    </row>
    <row r="12" spans="2:26" outlineLevel="1" x14ac:dyDescent="0.25">
      <c r="C12" s="8" t="s">
        <v>85</v>
      </c>
      <c r="D12" s="171">
        <f xml:space="preserve"> COUNTIF( 'INPUTS│Performance Commitments'!$C$9:$C$30, C12 )</f>
        <v>2</v>
      </c>
      <c r="F12" s="100">
        <f xml:space="preserve"> _xlfn.IFNA( VLOOKUP( $C12, 'INPUTS│Performance Commitments'!$C$34:$I$55, MATCH( F$4, 'INPUTS│Performance Commitments'!$G$3:$I$3, 0 ) + 4, 0 ), "-" )</f>
        <v>107.79897272165408</v>
      </c>
      <c r="G12" s="100">
        <f ca="1" xml:space="preserve"> IF( $D12 &gt; 1, OFFSET( 'INPUTS│Performance Commitments'!$F$34, MATCH( $C12, 'INPUTS│Performance Commitments'!$C$34:$C$55, 0 ), MATCH( $F$4, 'INPUTS│Performance Commitments'!$G$3:$I$3, 0 ) ), "-" )</f>
        <v>7.89</v>
      </c>
      <c r="H12" s="100">
        <f xml:space="preserve"> _xlfn.IFNA( VLOOKUP( $C12, 'INPUTS│Performance Commitments'!$C$9:$I$30, MATCH( H$4, 'INPUTS│Performance Commitments'!$G$3:$I$3, 0 ) + 4, 0 ), "-" )</f>
        <v>90.8</v>
      </c>
      <c r="I12" s="100">
        <f ca="1" xml:space="preserve"> IF( $D12 &gt; 1, OFFSET( 'INPUTS│Performance Commitments'!$F$9, MATCH( $C12, 'INPUTS│Performance Commitments'!$C$34:$C$55, 0 ), MATCH( $H$4, 'INPUTS│Performance Commitments'!$G$3:$I$3, 0 ) ), "-" )</f>
        <v>5.5</v>
      </c>
      <c r="J12" s="77" t="str">
        <f t="shared" si="0"/>
        <v>Failed</v>
      </c>
      <c r="K12" s="77" t="str">
        <f t="shared" ca="1" si="0"/>
        <v>Failed</v>
      </c>
      <c r="L12" s="239">
        <f ca="1" xml:space="preserve"> IF( H12 = "-", "-", COUNTIF( J12:K12, "Met" ) / $D12 )</f>
        <v>0</v>
      </c>
      <c r="N12" s="100">
        <f xml:space="preserve"> _xlfn.IFNA( VLOOKUP( $C12, 'INPUTS│Performance Commitments'!$C$34:$I$55, MATCH( N$4, 'INPUTS│Performance Commitments'!$G$3:$I$3, 0 ) + 4, 0 ), "-" )</f>
        <v>85.594526973584493</v>
      </c>
      <c r="O12" s="100">
        <f ca="1" xml:space="preserve"> IF( $D12 &gt; 1, OFFSET( 'INPUTS│Performance Commitments'!$F$34, MATCH( $C12, 'INPUTS│Performance Commitments'!$C$34:$C$55, 0 ), MATCH( $N$4, 'INPUTS│Performance Commitments'!$G$3:$I$3, 0 ) ), "-" )</f>
        <v>6.8710000000000004</v>
      </c>
      <c r="P12" s="100">
        <f xml:space="preserve"> _xlfn.IFNA( VLOOKUP( $C12, 'INPUTS│Performance Commitments'!$C$9:$I$30, MATCH( P$4, 'INPUTS│Performance Commitments'!$G$3:$I$3, 0 ) + 4, 0 ), "-" )</f>
        <v>90.8</v>
      </c>
      <c r="Q12" s="100">
        <f ca="1" xml:space="preserve"> IF( $D12 &gt; 1, OFFSET( 'INPUTS│Performance Commitments'!$F$9, MATCH( $C12, 'INPUTS│Performance Commitments'!$C$34:$C$55, 0 ), MATCH( $P$4, 'INPUTS│Performance Commitments'!$G$3:$I$3, 0 ) ), "-" )</f>
        <v>7.7</v>
      </c>
      <c r="R12" s="77" t="str">
        <f t="shared" si="1"/>
        <v>Met</v>
      </c>
      <c r="S12" s="77" t="str">
        <f t="shared" ca="1" si="1"/>
        <v>Met</v>
      </c>
      <c r="T12" s="238">
        <f ca="1" xml:space="preserve"> IF( P12 = "-", "-", COUNTIF( R12:S12, "Met" ) / $D12 )</f>
        <v>1</v>
      </c>
      <c r="U12" s="47"/>
      <c r="V12" s="229">
        <f xml:space="preserve"> _xlfn.IFNA( VLOOKUP( $C12, 'INPUTS│Performance Commitments'!$C$34:$L$55, MATCH( V$4, 'INPUTS│Performance Commitments'!$K$3:$L$3, 0 ) + 8, 0 ), "-" )</f>
        <v>5.9</v>
      </c>
      <c r="W12" s="229">
        <f ca="1" xml:space="preserve"> IF( $D12 &gt; 1, OFFSET( 'INPUTS│Performance Commitments'!$J$34, MATCH( $C12, 'INPUTS│Performance Commitments'!$C$34:$C$55, 0 ), MATCH( $V$4, 'INPUTS│Performance Commitments'!$K$3:$L$3, 0 ) ), "-" )</f>
        <v>6.8710000000000004</v>
      </c>
      <c r="X12" s="229">
        <f xml:space="preserve"> _xlfn.IFNA( VLOOKUP( $C12, 'INPUTS│Performance Commitments'!$C$9:$L$30, MATCH( X$4, 'INPUTS│Performance Commitments'!$K$3:$L$3, 0 ) + 8, 0 ), "-" )</f>
        <v>6.3</v>
      </c>
      <c r="Y12" s="229">
        <f ca="1" xml:space="preserve"> IF( $D12 &gt; 1, OFFSET( 'INPUTS│Performance Commitments'!$J$9, MATCH( $C12, 'INPUTS│Performance Commitments'!$C$34:$C$55, 0 ), MATCH( $X$4, 'INPUTS│Performance Commitments'!$K$3:$L$3, 0 ) ), "-" )</f>
        <v>7.7</v>
      </c>
    </row>
    <row r="13" spans="2:26" outlineLevel="1" x14ac:dyDescent="0.25">
      <c r="C13" s="8" t="s">
        <v>87</v>
      </c>
      <c r="D13" s="171">
        <f xml:space="preserve"> COUNTIF( 'INPUTS│Performance Commitments'!$C$9:$C$30, C13 )</f>
        <v>2</v>
      </c>
      <c r="F13" s="100">
        <f xml:space="preserve"> _xlfn.IFNA( VLOOKUP( $C13, 'INPUTS│Performance Commitments'!$C$34:$I$55, MATCH( F$4, 'INPUTS│Performance Commitments'!$G$3:$I$3, 0 ) + 4, 0 ), "-" )</f>
        <v>136.26</v>
      </c>
      <c r="G13" s="100">
        <f ca="1" xml:space="preserve"> IF( $D13 &gt; 1, OFFSET( 'INPUTS│Performance Commitments'!$F$34, MATCH( $C13, 'INPUTS│Performance Commitments'!$C$34:$C$55, 0 ), MATCH( $F$4, 'INPUTS│Performance Commitments'!$G$3:$I$3, 0 ) ), "-" )</f>
        <v>64.180000000000007</v>
      </c>
      <c r="H13" s="100">
        <f xml:space="preserve"> _xlfn.IFNA( VLOOKUP( $C13, 'INPUTS│Performance Commitments'!$C$9:$I$30, MATCH( H$4, 'INPUTS│Performance Commitments'!$G$3:$I$3, 0 ) + 4, 0 ), "-" )</f>
        <v>137</v>
      </c>
      <c r="I13" s="100">
        <f ca="1" xml:space="preserve"> IF( $D13 &gt; 1, OFFSET( 'INPUTS│Performance Commitments'!$F$9, MATCH( $C13, 'INPUTS│Performance Commitments'!$C$34:$C$55, 0 ), MATCH( $H$4, 'INPUTS│Performance Commitments'!$G$3:$I$3, 0 ) ), "-" )</f>
        <v>66</v>
      </c>
      <c r="J13" s="77" t="str">
        <f t="shared" si="0"/>
        <v>Met</v>
      </c>
      <c r="K13" s="77" t="str">
        <f t="shared" ca="1" si="0"/>
        <v>Met</v>
      </c>
      <c r="L13" s="238">
        <f ca="1" xml:space="preserve"> IF( H13 = "-", "-", COUNTIF( J13:K13, "Met" ) / $D13 )</f>
        <v>1</v>
      </c>
      <c r="N13" s="100">
        <f xml:space="preserve"> _xlfn.IFNA( VLOOKUP( $C13, 'INPUTS│Performance Commitments'!$C$34:$I$55, MATCH( N$4, 'INPUTS│Performance Commitments'!$G$3:$I$3, 0 ) + 4, 0 ), "-" )</f>
        <v>134.80000000000001</v>
      </c>
      <c r="O13" s="100">
        <f ca="1" xml:space="preserve"> IF( $D13 &gt; 1, OFFSET( 'INPUTS│Performance Commitments'!$F$34, MATCH( $C13, 'INPUTS│Performance Commitments'!$C$34:$C$55, 0 ), MATCH( $N$4, 'INPUTS│Performance Commitments'!$G$3:$I$3, 0 ) ), "-" )</f>
        <v>63.2</v>
      </c>
      <c r="P13" s="100">
        <f xml:space="preserve"> _xlfn.IFNA( VLOOKUP( $C13, 'INPUTS│Performance Commitments'!$C$9:$I$30, MATCH( P$4, 'INPUTS│Performance Commitments'!$G$3:$I$3, 0 ) + 4, 0 ), "-" )</f>
        <v>137</v>
      </c>
      <c r="Q13" s="100">
        <f ca="1" xml:space="preserve"> IF( $D13 &gt; 1, OFFSET( 'INPUTS│Performance Commitments'!$F$9, MATCH( $C13, 'INPUTS│Performance Commitments'!$C$34:$C$55, 0 ), MATCH( $P$4, 'INPUTS│Performance Commitments'!$G$3:$I$3, 0 ) ), "-" )</f>
        <v>66</v>
      </c>
      <c r="R13" s="77" t="str">
        <f t="shared" si="1"/>
        <v>Met</v>
      </c>
      <c r="S13" s="77" t="str">
        <f t="shared" ca="1" si="1"/>
        <v>Met</v>
      </c>
      <c r="T13" s="238">
        <f ca="1" xml:space="preserve"> IF( P13 = "-", "-", COUNTIF( R13:S13, "Met" ) / $D13 )</f>
        <v>1</v>
      </c>
      <c r="U13" s="47"/>
      <c r="V13" s="229">
        <f xml:space="preserve"> _xlfn.IFNA( VLOOKUP( $C13, 'INPUTS│Performance Commitments'!$C$34:$L$55, MATCH( V$4, 'INPUTS│Performance Commitments'!$K$3:$L$3, 0 ) + 8, 0 ), "-" )</f>
        <v>134.80000000000001</v>
      </c>
      <c r="W13" s="229">
        <f ca="1" xml:space="preserve"> IF( $D13 &gt; 1, OFFSET( 'INPUTS│Performance Commitments'!$J$34, MATCH( $C13, 'INPUTS│Performance Commitments'!$C$34:$C$55, 0 ), MATCH( $V$4, 'INPUTS│Performance Commitments'!$K$3:$L$3, 0 ) ), "-" )</f>
        <v>63.2</v>
      </c>
      <c r="X13" s="229">
        <f xml:space="preserve"> _xlfn.IFNA( VLOOKUP( $C13, 'INPUTS│Performance Commitments'!$C$9:$L$30, MATCH( X$4, 'INPUTS│Performance Commitments'!$K$3:$L$3, 0 ) + 8, 0 ), "-" )</f>
        <v>137</v>
      </c>
      <c r="Y13" s="229">
        <f ca="1" xml:space="preserve"> IF( $D13 &gt; 1, OFFSET( 'INPUTS│Performance Commitments'!$J$9, MATCH( $C13, 'INPUTS│Performance Commitments'!$C$34:$C$55, 0 ), MATCH( $X$4, 'INPUTS│Performance Commitments'!$K$3:$L$3, 0 ) ), "-" )</f>
        <v>66</v>
      </c>
    </row>
    <row r="14" spans="2:26" outlineLevel="1" x14ac:dyDescent="0.25">
      <c r="C14" s="8" t="s">
        <v>89</v>
      </c>
      <c r="D14" s="171">
        <f xml:space="preserve"> COUNTIF( 'INPUTS│Performance Commitments'!$C$9:$C$30, C14 )</f>
        <v>2</v>
      </c>
      <c r="F14" s="100">
        <f xml:space="preserve"> _xlfn.IFNA( VLOOKUP( $C14, 'INPUTS│Performance Commitments'!$C$34:$I$55, MATCH( F$4, 'INPUTS│Performance Commitments'!$G$3:$I$3, 0 ) + 4, 0 ), "-" )</f>
        <v>419.5</v>
      </c>
      <c r="G14" s="100">
        <f ca="1" xml:space="preserve"> IF( $D14 &gt; 1, OFFSET( 'INPUTS│Performance Commitments'!$F$34, MATCH( $C14, 'INPUTS│Performance Commitments'!$C$34:$C$55, 0 ), MATCH( $F$4, 'INPUTS│Performance Commitments'!$G$3:$I$3, 0 ) ), "-" )</f>
        <v>97.8</v>
      </c>
      <c r="H14" s="100">
        <f xml:space="preserve"> _xlfn.IFNA( VLOOKUP( $C14, 'INPUTS│Performance Commitments'!$C$9:$I$30, MATCH( H$4, 'INPUTS│Performance Commitments'!$G$3:$I$3, 0 ) + 4, 0 ), "-" )</f>
        <v>423.5</v>
      </c>
      <c r="I14" s="100">
        <f ca="1" xml:space="preserve"> IF( $D14 &gt; 1, OFFSET( 'INPUTS│Performance Commitments'!$F$9, MATCH( $C14, 'INPUTS│Performance Commitments'!$C$34:$C$55, 0 ), MATCH( $H$4, 'INPUTS│Performance Commitments'!$G$3:$I$3, 0 ) ), "-" )</f>
        <v>90.8</v>
      </c>
      <c r="J14" s="77" t="str">
        <f t="shared" si="0"/>
        <v>Met</v>
      </c>
      <c r="K14" s="77" t="str">
        <f t="shared" ca="1" si="0"/>
        <v>Failed</v>
      </c>
      <c r="L14" s="238">
        <f ca="1" xml:space="preserve"> IF( H14 = "-", "-", COUNTIF( J14:K14, "Met" ) / $D14 )</f>
        <v>0.5</v>
      </c>
      <c r="N14" s="100">
        <f xml:space="preserve"> _xlfn.IFNA( VLOOKUP( $C14, 'INPUTS│Performance Commitments'!$C$34:$I$55, MATCH( N$4, 'INPUTS│Performance Commitments'!$G$3:$I$3, 0 ) + 4, 0 ), "-" )</f>
        <v>401</v>
      </c>
      <c r="O14" s="100">
        <f ca="1" xml:space="preserve"> IF( $D14 &gt; 1, OFFSET( 'INPUTS│Performance Commitments'!$F$34, MATCH( $C14, 'INPUTS│Performance Commitments'!$C$34:$C$55, 0 ), MATCH( $N$4, 'INPUTS│Performance Commitments'!$G$3:$I$3, 0 ) ), "-" )</f>
        <v>70.39</v>
      </c>
      <c r="P14" s="100">
        <f xml:space="preserve"> _xlfn.IFNA( VLOOKUP( $C14, 'INPUTS│Performance Commitments'!$C$9:$I$30, MATCH( P$4, 'INPUTS│Performance Commitments'!$G$3:$I$3, 0 ) + 4, 0 ), "-" )</f>
        <v>416.3</v>
      </c>
      <c r="Q14" s="100">
        <f ca="1" xml:space="preserve"> IF( $D14 &gt; 1, OFFSET( 'INPUTS│Performance Commitments'!$F$9, MATCH( $C14, 'INPUTS│Performance Commitments'!$C$34:$C$55, 0 ), MATCH( $P$4, 'INPUTS│Performance Commitments'!$G$3:$I$3, 0 ) ), "-" )</f>
        <v>90.8</v>
      </c>
      <c r="R14" s="77" t="str">
        <f t="shared" si="1"/>
        <v>Met</v>
      </c>
      <c r="S14" s="77" t="str">
        <f t="shared" ca="1" si="1"/>
        <v>Met</v>
      </c>
      <c r="T14" s="238">
        <f ca="1" xml:space="preserve"> IF( P14 = "-", "-", COUNTIF( R14:S14, "Met" ) / $D14 )</f>
        <v>1</v>
      </c>
      <c r="U14" s="47"/>
      <c r="V14" s="229">
        <f xml:space="preserve"> _xlfn.IFNA( VLOOKUP( $C14, 'INPUTS│Performance Commitments'!$C$34:$L$55, MATCH( V$4, 'INPUTS│Performance Commitments'!$K$3:$L$3, 0 ) + 8, 0 ), "-" )</f>
        <v>401</v>
      </c>
      <c r="W14" s="229">
        <f ca="1" xml:space="preserve"> IF( $D14 &gt; 1, OFFSET( 'INPUTS│Performance Commitments'!$J$34, MATCH( $C14, 'INPUTS│Performance Commitments'!$C$34:$C$55, 0 ), MATCH( $V$4, 'INPUTS│Performance Commitments'!$K$3:$L$3, 0 ) ), "-" )</f>
        <v>3.5</v>
      </c>
      <c r="X14" s="229">
        <f xml:space="preserve"> _xlfn.IFNA( VLOOKUP( $C14, 'INPUTS│Performance Commitments'!$C$9:$L$30, MATCH( X$4, 'INPUTS│Performance Commitments'!$K$3:$L$3, 0 ) + 8, 0 ), "-" )</f>
        <v>416.3</v>
      </c>
      <c r="Y14" s="229">
        <f ca="1" xml:space="preserve"> IF( $D14 &gt; 1, OFFSET( 'INPUTS│Performance Commitments'!$J$9, MATCH( $C14, 'INPUTS│Performance Commitments'!$C$34:$C$55, 0 ), MATCH( $X$4, 'INPUTS│Performance Commitments'!$K$3:$L$3, 0 ) ), "-" )</f>
        <v>4.5</v>
      </c>
    </row>
    <row r="15" spans="2:26" outlineLevel="1" x14ac:dyDescent="0.25">
      <c r="C15" s="8" t="s">
        <v>91</v>
      </c>
      <c r="D15" s="92">
        <f xml:space="preserve"> SUM( D28, D29 )</f>
        <v>2</v>
      </c>
      <c r="F15" s="86">
        <f>F28</f>
        <v>84</v>
      </c>
      <c r="G15" s="86">
        <f>F29</f>
        <v>18.279320362470102</v>
      </c>
      <c r="H15" s="86">
        <f>H28</f>
        <v>84</v>
      </c>
      <c r="I15" s="86" t="str">
        <f>H29</f>
        <v>-</v>
      </c>
      <c r="J15" s="86" t="str">
        <f>J28</f>
        <v>Met</v>
      </c>
      <c r="K15" s="86" t="str">
        <f>J29</f>
        <v>-</v>
      </c>
      <c r="L15" s="238">
        <f ca="1" xml:space="preserve"> IF( OR( L28 = "-", L29 = "-" ), MAX( L28:L29 ), SUM( L28:L29 ) / 2 )</f>
        <v>1</v>
      </c>
      <c r="N15" s="86">
        <f>N28</f>
        <v>84</v>
      </c>
      <c r="O15" s="86">
        <f>N29</f>
        <v>18.3</v>
      </c>
      <c r="P15" s="86">
        <f>P28</f>
        <v>84</v>
      </c>
      <c r="Q15" s="86">
        <f>P29</f>
        <v>20</v>
      </c>
      <c r="R15" s="86" t="str">
        <f>R28</f>
        <v>Met</v>
      </c>
      <c r="S15" s="86" t="str">
        <f>R29</f>
        <v>Met</v>
      </c>
      <c r="T15" s="238">
        <f ca="1" xml:space="preserve"> IF( OR( T28 = "-", T29 = "-" ), MAX( T28:T29 ), SUM( T28:T29 ) / 2 )</f>
        <v>1</v>
      </c>
      <c r="U15" s="47"/>
      <c r="V15" s="229">
        <f>V28</f>
        <v>84</v>
      </c>
      <c r="W15" s="229">
        <f>V29</f>
        <v>18.3</v>
      </c>
      <c r="X15" s="229">
        <f>X28</f>
        <v>84</v>
      </c>
      <c r="Y15" s="229">
        <f>X29</f>
        <v>20</v>
      </c>
    </row>
    <row r="16" spans="2:26" outlineLevel="1" x14ac:dyDescent="0.25">
      <c r="C16" s="8" t="s">
        <v>94</v>
      </c>
      <c r="D16" s="171">
        <f xml:space="preserve"> COUNTIF( 'INPUTS│Performance Commitments'!$C$9:$C$30, C16 )</f>
        <v>1</v>
      </c>
      <c r="F16" s="100">
        <f xml:space="preserve"> _xlfn.IFNA( VLOOKUP( $C16, 'INPUTS│Performance Commitments'!$C$34:$I$55, MATCH( F$4, 'INPUTS│Performance Commitments'!$G$3:$I$3, 0 ) + 4, 0 ), "-" )</f>
        <v>101.8</v>
      </c>
      <c r="G16" s="100" t="str">
        <f ca="1" xml:space="preserve"> IF( $D16 &gt; 1, OFFSET( 'INPUTS│Performance Commitments'!$F$34, MATCH( $C16, 'INPUTS│Performance Commitments'!$C$34:$C$55, 0 ), MATCH( $F$4, 'INPUTS│Performance Commitments'!$G$3:$I$3, 0 ) ), "-" )</f>
        <v>-</v>
      </c>
      <c r="H16" s="100" t="str">
        <f xml:space="preserve"> _xlfn.IFNA( VLOOKUP( $C16, 'INPUTS│Performance Commitments'!$C$9:$I$30, MATCH( H$4, 'INPUTS│Performance Commitments'!$G$3:$I$3, 0 ) + 4, 0 ), "-" )</f>
        <v>-</v>
      </c>
      <c r="I16" s="100" t="str">
        <f ca="1" xml:space="preserve"> IF( $D16 &gt; 1, OFFSET( 'INPUTS│Performance Commitments'!$F$9, MATCH( $C16, 'INPUTS│Performance Commitments'!$C$34:$C$55, 0 ), MATCH( $H$4, 'INPUTS│Performance Commitments'!$G$3:$I$3, 0 ) ), "-" )</f>
        <v>-</v>
      </c>
      <c r="J16" s="77" t="str">
        <f t="shared" ref="J16:J25" si="2" xml:space="preserve"> IF( H16 &lt;&gt; "-", IF( F16 &lt;= H16, "Met", "Failed" ), "-" )</f>
        <v>-</v>
      </c>
      <c r="K16" s="77" t="str">
        <f t="shared" ref="K16:K25" ca="1" si="3" xml:space="preserve"> IF( I16 &lt;&gt; "-", IF( G16 &lt;= I16, "Met", "Failed" ), "-" )</f>
        <v>-</v>
      </c>
      <c r="L16" s="238" t="str">
        <f xml:space="preserve"> IF( H16 = "-", "-", COUNTIF( J16:K16, "Met" ) / $D16 )</f>
        <v>-</v>
      </c>
      <c r="N16" s="100">
        <f xml:space="preserve"> _xlfn.IFNA( VLOOKUP( $C16, 'INPUTS│Performance Commitments'!$C$34:$I$55, MATCH( N$4, 'INPUTS│Performance Commitments'!$G$3:$I$3, 0 ) + 4, 0 ), "-" )</f>
        <v>91.3</v>
      </c>
      <c r="O16" s="100" t="str">
        <f ca="1" xml:space="preserve"> IF( $D16 &gt; 1, OFFSET( 'INPUTS│Performance Commitments'!$F$34, MATCH( $C16, 'INPUTS│Performance Commitments'!$C$34:$C$55, 0 ), MATCH( $N$4, 'INPUTS│Performance Commitments'!$G$3:$I$3, 0 ) ), "-" )</f>
        <v>-</v>
      </c>
      <c r="P16" s="100">
        <f xml:space="preserve"> _xlfn.IFNA( VLOOKUP( $C16, 'INPUTS│Performance Commitments'!$C$9:$I$30, MATCH( P$4, 'INPUTS│Performance Commitments'!$G$3:$I$3, 0 ) + 4, 0 ), "-" )</f>
        <v>87</v>
      </c>
      <c r="Q16" s="100" t="str">
        <f ca="1" xml:space="preserve"> IF( $D16 &gt; 1, OFFSET( 'INPUTS│Performance Commitments'!$F$9, MATCH( $C16, 'INPUTS│Performance Commitments'!$C$34:$C$55, 0 ), MATCH( $P$4, 'INPUTS│Performance Commitments'!$G$3:$I$3, 0 ) ), "-" )</f>
        <v>-</v>
      </c>
      <c r="R16" s="77" t="str">
        <f t="shared" ref="R16:R25" si="4" xml:space="preserve"> IF( P16 &lt;&gt; "-", IF( N16 &lt;= P16, "Met", "Failed" ), "-" )</f>
        <v>Failed</v>
      </c>
      <c r="S16" s="77" t="str">
        <f t="shared" ref="S16:S25" ca="1" si="5" xml:space="preserve"> IF( Q16 &lt;&gt; "-", IF( O16 &lt;= Q16, "Met", "Failed" ), "-" )</f>
        <v>-</v>
      </c>
      <c r="T16" s="238">
        <f ca="1" xml:space="preserve"> IF( P16 = "-", "-", COUNTIF( R16:S16, "Met" ) / $D16 )</f>
        <v>0</v>
      </c>
      <c r="U16" s="47"/>
      <c r="V16" s="229">
        <f xml:space="preserve"> _xlfn.IFNA( VLOOKUP( $C16, 'INPUTS│Performance Commitments'!$C$34:$L$55, MATCH( V$4, 'INPUTS│Performance Commitments'!$K$3:$L$3, 0 ) + 8, 0 ), "-" )</f>
        <v>91.3</v>
      </c>
      <c r="W16" s="229" t="str">
        <f ca="1" xml:space="preserve"> IF( $D16 &gt; 1, OFFSET( 'INPUTS│Performance Commitments'!$J$34, MATCH( $C16, 'INPUTS│Performance Commitments'!$C$34:$C$55, 0 ), MATCH( $V$4, 'INPUTS│Performance Commitments'!$K$3:$L$3, 0 ) ), "-" )</f>
        <v>-</v>
      </c>
      <c r="X16" s="229">
        <f xml:space="preserve"> _xlfn.IFNA( VLOOKUP( $C16, 'INPUTS│Performance Commitments'!$C$9:$L$30, MATCH( X$4, 'INPUTS│Performance Commitments'!$K$3:$L$3, 0 ) + 8, 0 ), "-" )</f>
        <v>87</v>
      </c>
      <c r="Y16" s="229" t="str">
        <f ca="1" xml:space="preserve"> IF( $D16 &gt; 1, OFFSET( 'INPUTS│Performance Commitments'!$J$9, MATCH( $C16, 'INPUTS│Performance Commitments'!$C$34:$C$55, 0 ), MATCH( $X$4, 'INPUTS│Performance Commitments'!$K$3:$L$3, 0 ) ), "-" )</f>
        <v>-</v>
      </c>
    </row>
    <row r="17" spans="2:26" outlineLevel="1" x14ac:dyDescent="0.25">
      <c r="C17" s="8" t="s">
        <v>96</v>
      </c>
      <c r="D17" s="171">
        <f xml:space="preserve"> COUNTIF( 'INPUTS│Performance Commitments'!$C$9:$C$30, C17 )</f>
        <v>1</v>
      </c>
      <c r="F17" s="100">
        <f xml:space="preserve"> _xlfn.IFNA( VLOOKUP( $C17, 'INPUTS│Performance Commitments'!$C$34:$I$55, MATCH( F$4, 'INPUTS│Performance Commitments'!$G$3:$I$3, 0 ) + 4, 0 ), "-" )</f>
        <v>690</v>
      </c>
      <c r="G17" s="100" t="str">
        <f ca="1" xml:space="preserve"> IF( $D17 &gt; 1, OFFSET( 'INPUTS│Performance Commitments'!$F$34, MATCH( $C17, 'INPUTS│Performance Commitments'!$C$34:$C$55, 0 ), MATCH( $F$4, 'INPUTS│Performance Commitments'!$G$3:$I$3, 0 ) ), "-" )</f>
        <v>-</v>
      </c>
      <c r="H17" s="100">
        <f xml:space="preserve"> _xlfn.IFNA( VLOOKUP( $C17, 'INPUTS│Performance Commitments'!$C$9:$I$30, MATCH( H$4, 'INPUTS│Performance Commitments'!$G$3:$I$3, 0 ) + 4, 0 ), "-" )</f>
        <v>612</v>
      </c>
      <c r="I17" s="100" t="str">
        <f ca="1" xml:space="preserve"> IF( $D17 &gt; 1, OFFSET( 'INPUTS│Performance Commitments'!$F$9, MATCH( $C17, 'INPUTS│Performance Commitments'!$C$34:$C$55, 0 ), MATCH( $H$4, 'INPUTS│Performance Commitments'!$G$3:$I$3, 0 ) ), "-" )</f>
        <v>-</v>
      </c>
      <c r="J17" s="77" t="str">
        <f t="shared" si="2"/>
        <v>Failed</v>
      </c>
      <c r="K17" s="77" t="str">
        <f t="shared" ca="1" si="3"/>
        <v>-</v>
      </c>
      <c r="L17" s="238">
        <f t="shared" ref="L17:L25" ca="1" si="6" xml:space="preserve"> IF( H17 = "-", "-", COUNTIF( J17:K17, "Met" ) / $D17 )</f>
        <v>0</v>
      </c>
      <c r="N17" s="100">
        <f xml:space="preserve"> _xlfn.IFNA( VLOOKUP( $C17, 'INPUTS│Performance Commitments'!$C$34:$I$55, MATCH( N$4, 'INPUTS│Performance Commitments'!$G$3:$I$3, 0 ) + 4, 0 ), "-" )</f>
        <v>595</v>
      </c>
      <c r="O17" s="100" t="str">
        <f ca="1" xml:space="preserve"> IF( $D17 &gt; 1, OFFSET( 'INPUTS│Performance Commitments'!$F$34, MATCH( $C17, 'INPUTS│Performance Commitments'!$C$34:$C$55, 0 ), MATCH( $N$4, 'INPUTS│Performance Commitments'!$G$3:$I$3, 0 ) ), "-" )</f>
        <v>-</v>
      </c>
      <c r="P17" s="100">
        <f xml:space="preserve"> _xlfn.IFNA( VLOOKUP( $C17, 'INPUTS│Performance Commitments'!$C$9:$I$30, MATCH( P$4, 'INPUTS│Performance Commitments'!$G$3:$I$3, 0 ) + 4, 0 ), "-" )</f>
        <v>606</v>
      </c>
      <c r="Q17" s="100" t="str">
        <f ca="1" xml:space="preserve"> IF( $D17 &gt; 1, OFFSET( 'INPUTS│Performance Commitments'!$F$9, MATCH( $C17, 'INPUTS│Performance Commitments'!$C$34:$C$55, 0 ), MATCH( $P$4, 'INPUTS│Performance Commitments'!$G$3:$I$3, 0 ) ), "-" )</f>
        <v>-</v>
      </c>
      <c r="R17" s="77" t="str">
        <f t="shared" si="4"/>
        <v>Met</v>
      </c>
      <c r="S17" s="77" t="str">
        <f t="shared" ca="1" si="5"/>
        <v>-</v>
      </c>
      <c r="T17" s="238">
        <f t="shared" ref="T17:T25" ca="1" si="7" xml:space="preserve"> IF( P17 = "-", "-", COUNTIF( R17:S17, "Met" ) / $D17 )</f>
        <v>1</v>
      </c>
      <c r="U17" s="47"/>
      <c r="V17" s="229">
        <f xml:space="preserve"> _xlfn.IFNA( VLOOKUP( $C17, 'INPUTS│Performance Commitments'!$C$34:$L$55, MATCH( V$4, 'INPUTS│Performance Commitments'!$K$3:$L$3, 0 ) + 8, 0 ), "-" )</f>
        <v>595</v>
      </c>
      <c r="W17" s="229" t="str">
        <f ca="1" xml:space="preserve"> IF( $D17 &gt; 1, OFFSET( 'INPUTS│Performance Commitments'!$J$34, MATCH( $C17, 'INPUTS│Performance Commitments'!$C$34:$C$55, 0 ), MATCH( $V$4, 'INPUTS│Performance Commitments'!$K$3:$L$3, 0 ) ), "-" )</f>
        <v>-</v>
      </c>
      <c r="X17" s="229">
        <f xml:space="preserve"> _xlfn.IFNA( VLOOKUP( $C17, 'INPUTS│Performance Commitments'!$C$9:$L$30, MATCH( X$4, 'INPUTS│Performance Commitments'!$K$3:$L$3, 0 ) + 8, 0 ), "-" )</f>
        <v>606</v>
      </c>
      <c r="Y17" s="229" t="str">
        <f ca="1" xml:space="preserve"> IF( $D17 &gt; 1, OFFSET( 'INPUTS│Performance Commitments'!$J$9, MATCH( $C17, 'INPUTS│Performance Commitments'!$C$34:$C$55, 0 ), MATCH( $X$4, 'INPUTS│Performance Commitments'!$K$3:$L$3, 0 ) ), "-" )</f>
        <v>-</v>
      </c>
    </row>
    <row r="18" spans="2:26" outlineLevel="1" x14ac:dyDescent="0.25">
      <c r="C18" s="8" t="s">
        <v>98</v>
      </c>
      <c r="D18" s="171">
        <f xml:space="preserve"> COUNTIF( 'INPUTS│Performance Commitments'!$C$9:$C$30, C18 )</f>
        <v>1</v>
      </c>
      <c r="F18" s="100">
        <f xml:space="preserve"> _xlfn.IFNA( VLOOKUP( $C18, 'INPUTS│Performance Commitments'!$C$34:$I$55, MATCH( F$4, 'INPUTS│Performance Commitments'!$G$3:$I$3, 0 ) + 4, 0 ), "-" )</f>
        <v>455.95</v>
      </c>
      <c r="G18" s="100" t="str">
        <f ca="1" xml:space="preserve"> IF( $D18 &gt; 1, OFFSET( 'INPUTS│Performance Commitments'!$F$34, MATCH( $C18, 'INPUTS│Performance Commitments'!$C$34:$C$55, 0 ), MATCH( $F$4, 'INPUTS│Performance Commitments'!$G$3:$I$3, 0 ) ), "-" )</f>
        <v>-</v>
      </c>
      <c r="H18" s="100">
        <f xml:space="preserve"> _xlfn.IFNA( VLOOKUP( $C18, 'INPUTS│Performance Commitments'!$C$9:$I$30, MATCH( H$4, 'INPUTS│Performance Commitments'!$G$3:$I$3, 0 ) + 4, 0 ), "-" )</f>
        <v>462.65</v>
      </c>
      <c r="I18" s="100" t="str">
        <f ca="1" xml:space="preserve"> IF( $D18 &gt; 1, OFFSET( 'INPUTS│Performance Commitments'!$F$9, MATCH( $C18, 'INPUTS│Performance Commitments'!$C$34:$C$55, 0 ), MATCH( $H$4, 'INPUTS│Performance Commitments'!$G$3:$I$3, 0 ) ), "-" )</f>
        <v>-</v>
      </c>
      <c r="J18" s="77" t="str">
        <f t="shared" si="2"/>
        <v>Met</v>
      </c>
      <c r="K18" s="77" t="str">
        <f t="shared" ca="1" si="3"/>
        <v>-</v>
      </c>
      <c r="L18" s="238">
        <f t="shared" ca="1" si="6"/>
        <v>1</v>
      </c>
      <c r="N18" s="100">
        <f xml:space="preserve"> _xlfn.IFNA( VLOOKUP( $C18, 'INPUTS│Performance Commitments'!$C$34:$I$55, MATCH( N$4, 'INPUTS│Performance Commitments'!$G$3:$I$3, 0 ) + 4, 0 ), "-" )</f>
        <v>446.2</v>
      </c>
      <c r="O18" s="100" t="str">
        <f ca="1" xml:space="preserve"> IF( $D18 &gt; 1, OFFSET( 'INPUTS│Performance Commitments'!$F$34, MATCH( $C18, 'INPUTS│Performance Commitments'!$C$34:$C$55, 0 ), MATCH( $N$4, 'INPUTS│Performance Commitments'!$G$3:$I$3, 0 ) ), "-" )</f>
        <v>-</v>
      </c>
      <c r="P18" s="100">
        <f xml:space="preserve"> _xlfn.IFNA( VLOOKUP( $C18, 'INPUTS│Performance Commitments'!$C$9:$I$30, MATCH( P$4, 'INPUTS│Performance Commitments'!$G$3:$I$3, 0 ) + 4, 0 ), "-" )</f>
        <v>462.65</v>
      </c>
      <c r="Q18" s="100" t="str">
        <f ca="1" xml:space="preserve"> IF( $D18 &gt; 1, OFFSET( 'INPUTS│Performance Commitments'!$F$9, MATCH( $C18, 'INPUTS│Performance Commitments'!$C$34:$C$55, 0 ), MATCH( $P$4, 'INPUTS│Performance Commitments'!$G$3:$I$3, 0 ) ), "-" )</f>
        <v>-</v>
      </c>
      <c r="R18" s="77" t="str">
        <f t="shared" si="4"/>
        <v>Met</v>
      </c>
      <c r="S18" s="77" t="str">
        <f t="shared" ca="1" si="5"/>
        <v>-</v>
      </c>
      <c r="T18" s="238">
        <f t="shared" ca="1" si="7"/>
        <v>1</v>
      </c>
      <c r="U18" s="47"/>
      <c r="V18" s="229">
        <f xml:space="preserve"> _xlfn.IFNA( VLOOKUP( $C18, 'INPUTS│Performance Commitments'!$C$34:$L$55, MATCH( V$4, 'INPUTS│Performance Commitments'!$K$3:$L$3, 0 ) + 8, 0 ), "-" )</f>
        <v>446.2</v>
      </c>
      <c r="W18" s="229" t="str">
        <f ca="1" xml:space="preserve"> IF( $D18 &gt; 1, OFFSET( 'INPUTS│Performance Commitments'!$J$34, MATCH( $C18, 'INPUTS│Performance Commitments'!$C$34:$C$55, 0 ), MATCH( $V$4, 'INPUTS│Performance Commitments'!$K$3:$L$3, 0 ) ), "-" )</f>
        <v>-</v>
      </c>
      <c r="X18" s="229">
        <f xml:space="preserve"> _xlfn.IFNA( VLOOKUP( $C18, 'INPUTS│Performance Commitments'!$C$9:$L$30, MATCH( X$4, 'INPUTS│Performance Commitments'!$K$3:$L$3, 0 ) + 8, 0 ), "-" )</f>
        <v>462.65</v>
      </c>
      <c r="Y18" s="229" t="str">
        <f ca="1" xml:space="preserve"> IF( $D18 &gt; 1, OFFSET( 'INPUTS│Performance Commitments'!$J$9, MATCH( $C18, 'INPUTS│Performance Commitments'!$C$34:$C$55, 0 ), MATCH( $X$4, 'INPUTS│Performance Commitments'!$K$3:$L$3, 0 ) ), "-" )</f>
        <v>-</v>
      </c>
    </row>
    <row r="19" spans="2:26" outlineLevel="1" x14ac:dyDescent="0.25">
      <c r="C19" s="8" t="s">
        <v>100</v>
      </c>
      <c r="D19" s="171">
        <f xml:space="preserve"> COUNTIF( 'INPUTS│Performance Commitments'!$C$9:$C$30, C19 )</f>
        <v>1</v>
      </c>
      <c r="F19" s="100">
        <f xml:space="preserve"> _xlfn.IFNA( VLOOKUP( $C19, 'INPUTS│Performance Commitments'!$C$34:$I$55, MATCH( F$4, 'INPUTS│Performance Commitments'!$G$3:$I$3, 0 ) + 4, 0 ), "-" )</f>
        <v>66.400000000000006</v>
      </c>
      <c r="G19" s="100" t="str">
        <f ca="1" xml:space="preserve"> IF( $D19 &gt; 1, OFFSET( 'INPUTS│Performance Commitments'!$F$34, MATCH( $C19, 'INPUTS│Performance Commitments'!$C$34:$C$55, 0 ), MATCH( $F$4, 'INPUTS│Performance Commitments'!$G$3:$I$3, 0 ) ), "-" )</f>
        <v>-</v>
      </c>
      <c r="H19" s="100">
        <f xml:space="preserve"> _xlfn.IFNA( VLOOKUP( $C19, 'INPUTS│Performance Commitments'!$C$9:$I$30, MATCH( H$4, 'INPUTS│Performance Commitments'!$G$3:$I$3, 0 ) + 4, 0 ), "-" )</f>
        <v>67.2</v>
      </c>
      <c r="I19" s="100" t="str">
        <f ca="1" xml:space="preserve"> IF( $D19 &gt; 1, OFFSET( 'INPUTS│Performance Commitments'!$F$9, MATCH( $C19, 'INPUTS│Performance Commitments'!$C$34:$C$55, 0 ), MATCH( $H$4, 'INPUTS│Performance Commitments'!$G$3:$I$3, 0 ) ), "-" )</f>
        <v>-</v>
      </c>
      <c r="J19" s="77" t="str">
        <f t="shared" si="2"/>
        <v>Met</v>
      </c>
      <c r="K19" s="77" t="str">
        <f t="shared" ca="1" si="3"/>
        <v>-</v>
      </c>
      <c r="L19" s="238">
        <f t="shared" ca="1" si="6"/>
        <v>1</v>
      </c>
      <c r="N19" s="100">
        <f xml:space="preserve"> _xlfn.IFNA( VLOOKUP( $C19, 'INPUTS│Performance Commitments'!$C$34:$I$55, MATCH( N$4, 'INPUTS│Performance Commitments'!$G$3:$I$3, 0 ) + 4, 0 ), "-" )</f>
        <v>61.4</v>
      </c>
      <c r="O19" s="100" t="str">
        <f ca="1" xml:space="preserve"> IF( $D19 &gt; 1, OFFSET( 'INPUTS│Performance Commitments'!$F$34, MATCH( $C19, 'INPUTS│Performance Commitments'!$C$34:$C$55, 0 ), MATCH( $N$4, 'INPUTS│Performance Commitments'!$G$3:$I$3, 0 ) ), "-" )</f>
        <v>-</v>
      </c>
      <c r="P19" s="100">
        <f xml:space="preserve"> _xlfn.IFNA( VLOOKUP( $C19, 'INPUTS│Performance Commitments'!$C$9:$I$30, MATCH( P$4, 'INPUTS│Performance Commitments'!$G$3:$I$3, 0 ) + 4, 0 ), "-" )</f>
        <v>66.5</v>
      </c>
      <c r="Q19" s="100" t="str">
        <f ca="1" xml:space="preserve"> IF( $D19 &gt; 1, OFFSET( 'INPUTS│Performance Commitments'!$F$9, MATCH( $C19, 'INPUTS│Performance Commitments'!$C$34:$C$55, 0 ), MATCH( $P$4, 'INPUTS│Performance Commitments'!$G$3:$I$3, 0 ) ), "-" )</f>
        <v>-</v>
      </c>
      <c r="R19" s="77" t="str">
        <f t="shared" si="4"/>
        <v>Met</v>
      </c>
      <c r="S19" s="77" t="str">
        <f t="shared" ca="1" si="5"/>
        <v>-</v>
      </c>
      <c r="T19" s="238">
        <f t="shared" ca="1" si="7"/>
        <v>1</v>
      </c>
      <c r="U19" s="47"/>
      <c r="V19" s="229">
        <f xml:space="preserve"> _xlfn.IFNA( VLOOKUP( $C19, 'INPUTS│Performance Commitments'!$C$34:$L$55, MATCH( V$4, 'INPUTS│Performance Commitments'!$K$3:$L$3, 0 ) + 8, 0 ), "-" )</f>
        <v>61.4</v>
      </c>
      <c r="W19" s="229" t="str">
        <f ca="1" xml:space="preserve"> IF( $D19 &gt; 1, OFFSET( 'INPUTS│Performance Commitments'!$J$34, MATCH( $C19, 'INPUTS│Performance Commitments'!$C$34:$C$55, 0 ), MATCH( $V$4, 'INPUTS│Performance Commitments'!$K$3:$L$3, 0 ) ), "-" )</f>
        <v>-</v>
      </c>
      <c r="X19" s="229">
        <f xml:space="preserve"> _xlfn.IFNA( VLOOKUP( $C19, 'INPUTS│Performance Commitments'!$C$9:$L$30, MATCH( X$4, 'INPUTS│Performance Commitments'!$K$3:$L$3, 0 ) + 8, 0 ), "-" )</f>
        <v>66.5</v>
      </c>
      <c r="Y19" s="229" t="str">
        <f ca="1" xml:space="preserve"> IF( $D19 &gt; 1, OFFSET( 'INPUTS│Performance Commitments'!$J$9, MATCH( $C19, 'INPUTS│Performance Commitments'!$C$34:$C$55, 0 ), MATCH( $X$4, 'INPUTS│Performance Commitments'!$K$3:$L$3, 0 ) ), "-" )</f>
        <v>-</v>
      </c>
    </row>
    <row r="20" spans="2:26" outlineLevel="1" x14ac:dyDescent="0.25">
      <c r="C20" s="8" t="s">
        <v>102</v>
      </c>
      <c r="D20" s="171">
        <f xml:space="preserve"> COUNTIF( 'INPUTS│Performance Commitments'!$C$9:$C$30, C20 )</f>
        <v>1</v>
      </c>
      <c r="F20" s="100">
        <f xml:space="preserve"> _xlfn.IFNA( VLOOKUP( $C20, 'INPUTS│Performance Commitments'!$C$34:$I$55, MATCH( F$4, 'INPUTS│Performance Commitments'!$G$3:$I$3, 0 ) + 4, 0 ), "-" )</f>
        <v>289.8</v>
      </c>
      <c r="G20" s="100" t="str">
        <f ca="1" xml:space="preserve"> IF( $D20 &gt; 1, OFFSET( 'INPUTS│Performance Commitments'!$F$34, MATCH( $C20, 'INPUTS│Performance Commitments'!$C$34:$C$55, 0 ), MATCH( $F$4, 'INPUTS│Performance Commitments'!$G$3:$I$3, 0 ) ), "-" )</f>
        <v>-</v>
      </c>
      <c r="H20" s="100">
        <f xml:space="preserve"> _xlfn.IFNA( VLOOKUP( $C20, 'INPUTS│Performance Commitments'!$C$9:$I$30, MATCH( H$4, 'INPUTS│Performance Commitments'!$G$3:$I$3, 0 ) + 4, 0 ), "-" )</f>
        <v>292.10000000000002</v>
      </c>
      <c r="I20" s="100" t="str">
        <f ca="1" xml:space="preserve"> IF( $D20 &gt; 1, OFFSET( 'INPUTS│Performance Commitments'!$F$9, MATCH( $C20, 'INPUTS│Performance Commitments'!$C$34:$C$55, 0 ), MATCH( $H$4, 'INPUTS│Performance Commitments'!$G$3:$I$3, 0 ) ), "-" )</f>
        <v>-</v>
      </c>
      <c r="J20" s="77" t="str">
        <f t="shared" si="2"/>
        <v>Met</v>
      </c>
      <c r="K20" s="77" t="str">
        <f t="shared" ca="1" si="3"/>
        <v>-</v>
      </c>
      <c r="L20" s="238">
        <f t="shared" ca="1" si="6"/>
        <v>1</v>
      </c>
      <c r="N20" s="100">
        <f xml:space="preserve"> _xlfn.IFNA( VLOOKUP( $C20, 'INPUTS│Performance Commitments'!$C$34:$I$55, MATCH( N$4, 'INPUTS│Performance Commitments'!$G$3:$I$3, 0 ) + 4, 0 ), "-" )</f>
        <v>270.8</v>
      </c>
      <c r="O20" s="100" t="str">
        <f ca="1" xml:space="preserve"> IF( $D20 &gt; 1, OFFSET( 'INPUTS│Performance Commitments'!$F$34, MATCH( $C20, 'INPUTS│Performance Commitments'!$C$34:$C$55, 0 ), MATCH( $N$4, 'INPUTS│Performance Commitments'!$G$3:$I$3, 0 ) ), "-" )</f>
        <v>-</v>
      </c>
      <c r="P20" s="100">
        <f xml:space="preserve"> _xlfn.IFNA( VLOOKUP( $C20, 'INPUTS│Performance Commitments'!$C$9:$I$30, MATCH( P$4, 'INPUTS│Performance Commitments'!$G$3:$I$3, 0 ) + 4, 0 ), "-" )</f>
        <v>287.10000000000002</v>
      </c>
      <c r="Q20" s="100" t="str">
        <f ca="1" xml:space="preserve"> IF( $D20 &gt; 1, OFFSET( 'INPUTS│Performance Commitments'!$F$9, MATCH( $C20, 'INPUTS│Performance Commitments'!$C$34:$C$55, 0 ), MATCH( $P$4, 'INPUTS│Performance Commitments'!$G$3:$I$3, 0 ) ), "-" )</f>
        <v>-</v>
      </c>
      <c r="R20" s="77" t="str">
        <f t="shared" si="4"/>
        <v>Met</v>
      </c>
      <c r="S20" s="77" t="str">
        <f t="shared" ca="1" si="5"/>
        <v>-</v>
      </c>
      <c r="T20" s="238">
        <f t="shared" ca="1" si="7"/>
        <v>1</v>
      </c>
      <c r="U20" s="47"/>
      <c r="V20" s="229">
        <f xml:space="preserve"> _xlfn.IFNA( VLOOKUP( $C20, 'INPUTS│Performance Commitments'!$C$34:$L$55, MATCH( V$4, 'INPUTS│Performance Commitments'!$K$3:$L$3, 0 ) + 8, 0 ), "-" )</f>
        <v>270.8</v>
      </c>
      <c r="W20" s="229" t="str">
        <f ca="1" xml:space="preserve"> IF( $D20 &gt; 1, OFFSET( 'INPUTS│Performance Commitments'!$J$34, MATCH( $C20, 'INPUTS│Performance Commitments'!$C$34:$C$55, 0 ), MATCH( $V$4, 'INPUTS│Performance Commitments'!$K$3:$L$3, 0 ) ), "-" )</f>
        <v>-</v>
      </c>
      <c r="X20" s="229">
        <f xml:space="preserve"> _xlfn.IFNA( VLOOKUP( $C20, 'INPUTS│Performance Commitments'!$C$9:$L$30, MATCH( X$4, 'INPUTS│Performance Commitments'!$K$3:$L$3, 0 ) + 8, 0 ), "-" )</f>
        <v>287.10000000000002</v>
      </c>
      <c r="Y20" s="229" t="str">
        <f ca="1" xml:space="preserve"> IF( $D20 &gt; 1, OFFSET( 'INPUTS│Performance Commitments'!$J$9, MATCH( $C20, 'INPUTS│Performance Commitments'!$C$34:$C$55, 0 ), MATCH( $X$4, 'INPUTS│Performance Commitments'!$K$3:$L$3, 0 ) ), "-" )</f>
        <v>-</v>
      </c>
    </row>
    <row r="21" spans="2:26" outlineLevel="1" x14ac:dyDescent="0.25">
      <c r="C21" s="8" t="s">
        <v>104</v>
      </c>
      <c r="D21" s="171">
        <f xml:space="preserve"> COUNTIF( 'INPUTS│Performance Commitments'!$C$9:$C$30, C21 )</f>
        <v>1</v>
      </c>
      <c r="F21" s="100">
        <f xml:space="preserve"> _xlfn.IFNA( VLOOKUP( $C21, 'INPUTS│Performance Commitments'!$C$34:$I$55, MATCH( F$4, 'INPUTS│Performance Commitments'!$G$3:$I$3, 0 ) + 4, 0 ), "-" )</f>
        <v>196.1</v>
      </c>
      <c r="G21" s="100" t="str">
        <f ca="1" xml:space="preserve"> IF( $D21 &gt; 1, OFFSET( 'INPUTS│Performance Commitments'!$F$34, MATCH( $C21, 'INPUTS│Performance Commitments'!$C$34:$C$55, 0 ), MATCH( $F$4, 'INPUTS│Performance Commitments'!$G$3:$I$3, 0 ) ), "-" )</f>
        <v>-</v>
      </c>
      <c r="H21" s="100">
        <f xml:space="preserve"> _xlfn.IFNA( VLOOKUP( $C21, 'INPUTS│Performance Commitments'!$C$9:$I$30, MATCH( H$4, 'INPUTS│Performance Commitments'!$G$3:$I$3, 0 ) + 4, 0 ), "-" )</f>
        <v>167.7</v>
      </c>
      <c r="I21" s="100" t="str">
        <f ca="1" xml:space="preserve"> IF( $D21 &gt; 1, OFFSET( 'INPUTS│Performance Commitments'!$F$9, MATCH( $C21, 'INPUTS│Performance Commitments'!$C$34:$C$55, 0 ), MATCH( $H$4, 'INPUTS│Performance Commitments'!$G$3:$I$3, 0 ) ), "-" )</f>
        <v>-</v>
      </c>
      <c r="J21" s="77" t="str">
        <f t="shared" si="2"/>
        <v>Failed</v>
      </c>
      <c r="K21" s="77" t="str">
        <f t="shared" ca="1" si="3"/>
        <v>-</v>
      </c>
      <c r="L21" s="238">
        <f t="shared" ca="1" si="6"/>
        <v>0</v>
      </c>
      <c r="N21" s="100">
        <f xml:space="preserve"> _xlfn.IFNA( VLOOKUP( $C21, 'INPUTS│Performance Commitments'!$C$34:$I$55, MATCH( N$4, 'INPUTS│Performance Commitments'!$G$3:$I$3, 0 ) + 4, 0 ), "-" )</f>
        <v>162.1</v>
      </c>
      <c r="O21" s="100" t="str">
        <f ca="1" xml:space="preserve"> IF( $D21 &gt; 1, OFFSET( 'INPUTS│Performance Commitments'!$F$34, MATCH( $C21, 'INPUTS│Performance Commitments'!$C$34:$C$55, 0 ), MATCH( $N$4, 'INPUTS│Performance Commitments'!$G$3:$I$3, 0 ) ), "-" )</f>
        <v>-</v>
      </c>
      <c r="P21" s="100">
        <f xml:space="preserve"> _xlfn.IFNA( VLOOKUP( $C21, 'INPUTS│Performance Commitments'!$C$9:$I$30, MATCH( P$4, 'INPUTS│Performance Commitments'!$G$3:$I$3, 0 ) + 4, 0 ), "-" )</f>
        <v>162.19999999999999</v>
      </c>
      <c r="Q21" s="100" t="str">
        <f ca="1" xml:space="preserve"> IF( $D21 &gt; 1, OFFSET( 'INPUTS│Performance Commitments'!$F$9, MATCH( $C21, 'INPUTS│Performance Commitments'!$C$34:$C$55, 0 ), MATCH( $P$4, 'INPUTS│Performance Commitments'!$G$3:$I$3, 0 ) ), "-" )</f>
        <v>-</v>
      </c>
      <c r="R21" s="77" t="str">
        <f t="shared" si="4"/>
        <v>Met</v>
      </c>
      <c r="S21" s="77" t="str">
        <f t="shared" ca="1" si="5"/>
        <v>-</v>
      </c>
      <c r="T21" s="238">
        <f t="shared" ca="1" si="7"/>
        <v>1</v>
      </c>
      <c r="U21" s="47"/>
      <c r="V21" s="229">
        <f xml:space="preserve"> _xlfn.IFNA( VLOOKUP( $C21, 'INPUTS│Performance Commitments'!$C$34:$L$55, MATCH( V$4, 'INPUTS│Performance Commitments'!$K$3:$L$3, 0 ) + 8, 0 ), "-" )</f>
        <v>162.1</v>
      </c>
      <c r="W21" s="229" t="str">
        <f ca="1" xml:space="preserve"> IF( $D21 &gt; 1, OFFSET( 'INPUTS│Performance Commitments'!$J$34, MATCH( $C21, 'INPUTS│Performance Commitments'!$C$34:$C$55, 0 ), MATCH( $V$4, 'INPUTS│Performance Commitments'!$K$3:$L$3, 0 ) ), "-" )</f>
        <v>-</v>
      </c>
      <c r="X21" s="229">
        <f xml:space="preserve"> _xlfn.IFNA( VLOOKUP( $C21, 'INPUTS│Performance Commitments'!$C$9:$L$30, MATCH( X$4, 'INPUTS│Performance Commitments'!$K$3:$L$3, 0 ) + 8, 0 ), "-" )</f>
        <v>162.19999999999999</v>
      </c>
      <c r="Y21" s="229" t="str">
        <f ca="1" xml:space="preserve"> IF( $D21 &gt; 1, OFFSET( 'INPUTS│Performance Commitments'!$J$9, MATCH( $C21, 'INPUTS│Performance Commitments'!$C$34:$C$55, 0 ), MATCH( $X$4, 'INPUTS│Performance Commitments'!$K$3:$L$3, 0 ) ), "-" )</f>
        <v>-</v>
      </c>
    </row>
    <row r="22" spans="2:26" outlineLevel="1" x14ac:dyDescent="0.25">
      <c r="C22" s="8" t="s">
        <v>106</v>
      </c>
      <c r="D22" s="171">
        <f xml:space="preserve"> COUNTIF( 'INPUTS│Performance Commitments'!$C$9:$C$30, C22 )</f>
        <v>1</v>
      </c>
      <c r="F22" s="100">
        <f xml:space="preserve"> _xlfn.IFNA( VLOOKUP( $C22, 'INPUTS│Performance Commitments'!$C$34:$I$55, MATCH( F$4, 'INPUTS│Performance Commitments'!$G$3:$I$3, 0 ) + 4, 0 ), "-" )</f>
        <v>45.83</v>
      </c>
      <c r="G22" s="100" t="str">
        <f ca="1" xml:space="preserve"> IF( $D22 &gt; 1, OFFSET( 'INPUTS│Performance Commitments'!$F$34, MATCH( $C22, 'INPUTS│Performance Commitments'!$C$34:$C$55, 0 ), MATCH( $F$4, 'INPUTS│Performance Commitments'!$G$3:$I$3, 0 ) ), "-" )</f>
        <v>-</v>
      </c>
      <c r="H22" s="100">
        <f xml:space="preserve"> _xlfn.IFNA( VLOOKUP( $C22, 'INPUTS│Performance Commitments'!$C$9:$I$30, MATCH( H$4, 'INPUTS│Performance Commitments'!$G$3:$I$3, 0 ) + 4, 0 ), "-" )</f>
        <v>44</v>
      </c>
      <c r="I22" s="100" t="str">
        <f ca="1" xml:space="preserve"> IF( $D22 &gt; 1, OFFSET( 'INPUTS│Performance Commitments'!$F$9, MATCH( $C22, 'INPUTS│Performance Commitments'!$C$34:$C$55, 0 ), MATCH( $H$4, 'INPUTS│Performance Commitments'!$G$3:$I$3, 0 ) ), "-" )</f>
        <v>-</v>
      </c>
      <c r="J22" s="77" t="str">
        <f t="shared" si="2"/>
        <v>Failed</v>
      </c>
      <c r="K22" s="77" t="str">
        <f t="shared" ca="1" si="3"/>
        <v>-</v>
      </c>
      <c r="L22" s="238">
        <f t="shared" ca="1" si="6"/>
        <v>0</v>
      </c>
      <c r="N22" s="100">
        <f xml:space="preserve"> _xlfn.IFNA( VLOOKUP( $C22, 'INPUTS│Performance Commitments'!$C$34:$I$55, MATCH( N$4, 'INPUTS│Performance Commitments'!$G$3:$I$3, 0 ) + 4, 0 ), "-" )</f>
        <v>40.9</v>
      </c>
      <c r="O22" s="100" t="str">
        <f ca="1" xml:space="preserve"> IF( $D22 &gt; 1, OFFSET( 'INPUTS│Performance Commitments'!$F$34, MATCH( $C22, 'INPUTS│Performance Commitments'!$C$34:$C$55, 0 ), MATCH( $N$4, 'INPUTS│Performance Commitments'!$G$3:$I$3, 0 ) ), "-" )</f>
        <v>-</v>
      </c>
      <c r="P22" s="100">
        <f xml:space="preserve"> _xlfn.IFNA( VLOOKUP( $C22, 'INPUTS│Performance Commitments'!$C$9:$I$30, MATCH( P$4, 'INPUTS│Performance Commitments'!$G$3:$I$3, 0 ) + 4, 0 ), "-" )</f>
        <v>43</v>
      </c>
      <c r="Q22" s="100" t="str">
        <f ca="1" xml:space="preserve"> IF( $D22 &gt; 1, OFFSET( 'INPUTS│Performance Commitments'!$F$9, MATCH( $C22, 'INPUTS│Performance Commitments'!$C$34:$C$55, 0 ), MATCH( $P$4, 'INPUTS│Performance Commitments'!$G$3:$I$3, 0 ) ), "-" )</f>
        <v>-</v>
      </c>
      <c r="R22" s="77" t="str">
        <f t="shared" si="4"/>
        <v>Met</v>
      </c>
      <c r="S22" s="77" t="str">
        <f t="shared" ca="1" si="5"/>
        <v>-</v>
      </c>
      <c r="T22" s="238">
        <f t="shared" ca="1" si="7"/>
        <v>1</v>
      </c>
      <c r="U22" s="47"/>
      <c r="V22" s="229">
        <f xml:space="preserve"> _xlfn.IFNA( VLOOKUP( $C22, 'INPUTS│Performance Commitments'!$C$34:$L$55, MATCH( V$4, 'INPUTS│Performance Commitments'!$K$3:$L$3, 0 ) + 8, 0 ), "-" )</f>
        <v>40.9</v>
      </c>
      <c r="W22" s="229" t="str">
        <f ca="1" xml:space="preserve"> IF( $D22 &gt; 1, OFFSET( 'INPUTS│Performance Commitments'!$J$34, MATCH( $C22, 'INPUTS│Performance Commitments'!$C$34:$C$55, 0 ), MATCH( $V$4, 'INPUTS│Performance Commitments'!$K$3:$L$3, 0 ) ), "-" )</f>
        <v>-</v>
      </c>
      <c r="X22" s="229">
        <f xml:space="preserve"> _xlfn.IFNA( VLOOKUP( $C22, 'INPUTS│Performance Commitments'!$C$9:$L$30, MATCH( X$4, 'INPUTS│Performance Commitments'!$K$3:$L$3, 0 ) + 8, 0 ), "-" )</f>
        <v>43</v>
      </c>
      <c r="Y22" s="229" t="str">
        <f ca="1" xml:space="preserve"> IF( $D22 &gt; 1, OFFSET( 'INPUTS│Performance Commitments'!$J$9, MATCH( $C22, 'INPUTS│Performance Commitments'!$C$34:$C$55, 0 ), MATCH( $X$4, 'INPUTS│Performance Commitments'!$K$3:$L$3, 0 ) ), "-" )</f>
        <v>-</v>
      </c>
    </row>
    <row r="23" spans="2:26" outlineLevel="1" x14ac:dyDescent="0.25">
      <c r="C23" s="8" t="s">
        <v>108</v>
      </c>
      <c r="D23" s="171">
        <f xml:space="preserve"> COUNTIF( 'INPUTS│Performance Commitments'!$C$9:$C$30, C23 )</f>
        <v>1</v>
      </c>
      <c r="F23" s="100">
        <f xml:space="preserve"> _xlfn.IFNA( VLOOKUP( $C23, 'INPUTS│Performance Commitments'!$C$34:$I$55, MATCH( F$4, 'INPUTS│Performance Commitments'!$G$3:$I$3, 0 ) + 4, 0 ), "-" )</f>
        <v>28.12</v>
      </c>
      <c r="G23" s="100" t="str">
        <f ca="1" xml:space="preserve"> IF( $D23 &gt; 1, OFFSET( 'INPUTS│Performance Commitments'!$F$34, MATCH( $C23, 'INPUTS│Performance Commitments'!$C$34:$C$55, 0 ), MATCH( $F$4, 'INPUTS│Performance Commitments'!$G$3:$I$3, 0 ) ), "-" )</f>
        <v>-</v>
      </c>
      <c r="H23" s="100">
        <f xml:space="preserve"> _xlfn.IFNA( VLOOKUP( $C23, 'INPUTS│Performance Commitments'!$C$9:$I$30, MATCH( H$4, 'INPUTS│Performance Commitments'!$G$3:$I$3, 0 ) + 4, 0 ), "-" )</f>
        <v>29.85</v>
      </c>
      <c r="I23" s="100" t="str">
        <f ca="1" xml:space="preserve"> IF( $D23 &gt; 1, OFFSET( 'INPUTS│Performance Commitments'!$F$9, MATCH( $C23, 'INPUTS│Performance Commitments'!$C$34:$C$55, 0 ), MATCH( $H$4, 'INPUTS│Performance Commitments'!$G$3:$I$3, 0 ) ), "-" )</f>
        <v>-</v>
      </c>
      <c r="J23" s="77" t="str">
        <f t="shared" si="2"/>
        <v>Met</v>
      </c>
      <c r="K23" s="77" t="str">
        <f t="shared" ca="1" si="3"/>
        <v>-</v>
      </c>
      <c r="L23" s="238">
        <f t="shared" ca="1" si="6"/>
        <v>1</v>
      </c>
      <c r="N23" s="100">
        <f xml:space="preserve"> _xlfn.IFNA( VLOOKUP( $C23, 'INPUTS│Performance Commitments'!$C$34:$I$55, MATCH( N$4, 'INPUTS│Performance Commitments'!$G$3:$I$3, 0 ) + 4, 0 ), "-" )</f>
        <v>23.58</v>
      </c>
      <c r="O23" s="100" t="str">
        <f ca="1" xml:space="preserve"> IF( $D23 &gt; 1, OFFSET( 'INPUTS│Performance Commitments'!$F$34, MATCH( $C23, 'INPUTS│Performance Commitments'!$C$34:$C$55, 0 ), MATCH( $N$4, 'INPUTS│Performance Commitments'!$G$3:$I$3, 0 ) ), "-" )</f>
        <v>-</v>
      </c>
      <c r="P23" s="100">
        <f xml:space="preserve"> _xlfn.IFNA( VLOOKUP( $C23, 'INPUTS│Performance Commitments'!$C$9:$I$30, MATCH( P$4, 'INPUTS│Performance Commitments'!$G$3:$I$3, 0 ) + 4, 0 ), "-" )</f>
        <v>29.8</v>
      </c>
      <c r="Q23" s="100" t="str">
        <f ca="1" xml:space="preserve"> IF( $D23 &gt; 1, OFFSET( 'INPUTS│Performance Commitments'!$F$9, MATCH( $C23, 'INPUTS│Performance Commitments'!$C$34:$C$55, 0 ), MATCH( $P$4, 'INPUTS│Performance Commitments'!$G$3:$I$3, 0 ) ), "-" )</f>
        <v>-</v>
      </c>
      <c r="R23" s="77" t="str">
        <f t="shared" si="4"/>
        <v>Met</v>
      </c>
      <c r="S23" s="77" t="str">
        <f t="shared" ca="1" si="5"/>
        <v>-</v>
      </c>
      <c r="T23" s="238">
        <f t="shared" ca="1" si="7"/>
        <v>1</v>
      </c>
      <c r="U23" s="47"/>
      <c r="V23" s="229">
        <f xml:space="preserve"> _xlfn.IFNA( VLOOKUP( $C23, 'INPUTS│Performance Commitments'!$C$34:$L$55, MATCH( V$4, 'INPUTS│Performance Commitments'!$K$3:$L$3, 0 ) + 8, 0 ), "-" )</f>
        <v>23.58</v>
      </c>
      <c r="W23" s="229" t="str">
        <f ca="1" xml:space="preserve"> IF( $D23 &gt; 1, OFFSET( 'INPUTS│Performance Commitments'!$J$34, MATCH( $C23, 'INPUTS│Performance Commitments'!$C$34:$C$55, 0 ), MATCH( $V$4, 'INPUTS│Performance Commitments'!$K$3:$L$3, 0 ) ), "-" )</f>
        <v>-</v>
      </c>
      <c r="X23" s="229">
        <f xml:space="preserve"> _xlfn.IFNA( VLOOKUP( $C23, 'INPUTS│Performance Commitments'!$C$9:$L$30, MATCH( X$4, 'INPUTS│Performance Commitments'!$K$3:$L$3, 0 ) + 8, 0 ), "-" )</f>
        <v>29.8</v>
      </c>
      <c r="Y23" s="229" t="str">
        <f ca="1" xml:space="preserve"> IF( $D23 &gt; 1, OFFSET( 'INPUTS│Performance Commitments'!$J$9, MATCH( $C23, 'INPUTS│Performance Commitments'!$C$34:$C$55, 0 ), MATCH( $X$4, 'INPUTS│Performance Commitments'!$K$3:$L$3, 0 ) ), "-" )</f>
        <v>-</v>
      </c>
    </row>
    <row r="24" spans="2:26" outlineLevel="1" x14ac:dyDescent="0.25">
      <c r="C24" s="8" t="s">
        <v>112</v>
      </c>
      <c r="D24" s="171">
        <f xml:space="preserve"> COUNTIF( 'INPUTS│Performance Commitments'!$C$9:$C$30, C24 )</f>
        <v>1</v>
      </c>
      <c r="F24" s="100">
        <f xml:space="preserve"> _xlfn.IFNA( VLOOKUP( $C24, 'INPUTS│Performance Commitments'!$C$34:$I$55, MATCH( F$4, 'INPUTS│Performance Commitments'!$G$3:$I$3, 0 ) + 4, 0 ), "-" )</f>
        <v>86.884250225089886</v>
      </c>
      <c r="G24" s="100" t="str">
        <f ca="1" xml:space="preserve"> IF( $D24 &gt; 1, OFFSET( 'INPUTS│Performance Commitments'!$F$34, MATCH( $C24, 'INPUTS│Performance Commitments'!$C$34:$C$55, 0 ), MATCH( $F$4, 'INPUTS│Performance Commitments'!$G$3:$I$3, 0 ) ), "-" )</f>
        <v>-</v>
      </c>
      <c r="H24" s="100">
        <f xml:space="preserve"> _xlfn.IFNA( VLOOKUP( $C24, 'INPUTS│Performance Commitments'!$C$9:$I$30, MATCH( H$4, 'INPUTS│Performance Commitments'!$G$3:$I$3, 0 ) + 4, 0 ), "-" )</f>
        <v>89.1</v>
      </c>
      <c r="I24" s="100" t="str">
        <f ca="1" xml:space="preserve"> IF( $D24 &gt; 1, OFFSET( 'INPUTS│Performance Commitments'!$F$9, MATCH( $C24, 'INPUTS│Performance Commitments'!$C$34:$C$55, 0 ), MATCH( $H$4, 'INPUTS│Performance Commitments'!$G$3:$I$3, 0 ) ), "-" )</f>
        <v>-</v>
      </c>
      <c r="J24" s="77" t="str">
        <f t="shared" si="2"/>
        <v>Met</v>
      </c>
      <c r="K24" s="77" t="str">
        <f t="shared" ca="1" si="3"/>
        <v>-</v>
      </c>
      <c r="L24" s="238">
        <f t="shared" ca="1" si="6"/>
        <v>1</v>
      </c>
      <c r="N24" s="100">
        <f xml:space="preserve"> _xlfn.IFNA( VLOOKUP( $C24, 'INPUTS│Performance Commitments'!$C$34:$I$55, MATCH( N$4, 'INPUTS│Performance Commitments'!$G$3:$I$3, 0 ) + 4, 0 ), "-" )</f>
        <v>86.4</v>
      </c>
      <c r="O24" s="100" t="str">
        <f ca="1" xml:space="preserve"> IF( $D24 &gt; 1, OFFSET( 'INPUTS│Performance Commitments'!$F$34, MATCH( $C24, 'INPUTS│Performance Commitments'!$C$34:$C$55, 0 ), MATCH( $N$4, 'INPUTS│Performance Commitments'!$G$3:$I$3, 0 ) ), "-" )</f>
        <v>-</v>
      </c>
      <c r="P24" s="100">
        <f xml:space="preserve"> _xlfn.IFNA( VLOOKUP( $C24, 'INPUTS│Performance Commitments'!$C$9:$I$30, MATCH( P$4, 'INPUTS│Performance Commitments'!$G$3:$I$3, 0 ) + 4, 0 ), "-" )</f>
        <v>88.1</v>
      </c>
      <c r="Q24" s="100" t="str">
        <f ca="1" xml:space="preserve"> IF( $D24 &gt; 1, OFFSET( 'INPUTS│Performance Commitments'!$F$9, MATCH( $C24, 'INPUTS│Performance Commitments'!$C$34:$C$55, 0 ), MATCH( $P$4, 'INPUTS│Performance Commitments'!$G$3:$I$3, 0 ) ), "-" )</f>
        <v>-</v>
      </c>
      <c r="R24" s="77" t="str">
        <f t="shared" si="4"/>
        <v>Met</v>
      </c>
      <c r="S24" s="77" t="str">
        <f t="shared" ca="1" si="5"/>
        <v>-</v>
      </c>
      <c r="T24" s="238">
        <f t="shared" ca="1" si="7"/>
        <v>1</v>
      </c>
      <c r="U24" s="47"/>
      <c r="V24" s="229">
        <f xml:space="preserve"> _xlfn.IFNA( VLOOKUP( $C24, 'INPUTS│Performance Commitments'!$C$34:$L$55, MATCH( V$4, 'INPUTS│Performance Commitments'!$K$3:$L$3, 0 ) + 8, 0 ), "-" )</f>
        <v>86.4</v>
      </c>
      <c r="W24" s="229" t="str">
        <f ca="1" xml:space="preserve"> IF( $D24 &gt; 1, OFFSET( 'INPUTS│Performance Commitments'!$J$34, MATCH( $C24, 'INPUTS│Performance Commitments'!$C$34:$C$55, 0 ), MATCH( $V$4, 'INPUTS│Performance Commitments'!$K$3:$L$3, 0 ) ), "-" )</f>
        <v>-</v>
      </c>
      <c r="X24" s="229">
        <f xml:space="preserve"> _xlfn.IFNA( VLOOKUP( $C24, 'INPUTS│Performance Commitments'!$C$9:$L$30, MATCH( X$4, 'INPUTS│Performance Commitments'!$K$3:$L$3, 0 ) + 8, 0 ), "-" )</f>
        <v>88.1</v>
      </c>
      <c r="Y24" s="229" t="str">
        <f ca="1" xml:space="preserve"> IF( $D24 &gt; 1, OFFSET( 'INPUTS│Performance Commitments'!$J$9, MATCH( $C24, 'INPUTS│Performance Commitments'!$C$34:$C$55, 0 ), MATCH( $X$4, 'INPUTS│Performance Commitments'!$K$3:$L$3, 0 ) ), "-" )</f>
        <v>-</v>
      </c>
    </row>
    <row r="25" spans="2:26" outlineLevel="1" x14ac:dyDescent="0.25">
      <c r="C25" s="8" t="s">
        <v>114</v>
      </c>
      <c r="D25" s="171">
        <f xml:space="preserve"> COUNTIF( 'INPUTS│Performance Commitments'!$C$9:$C$30, C25 )</f>
        <v>2</v>
      </c>
      <c r="F25" s="100">
        <f xml:space="preserve"> _xlfn.IFNA( VLOOKUP( $C25, 'INPUTS│Performance Commitments'!$C$34:$I$55, MATCH( F$4, 'INPUTS│Performance Commitments'!$G$3:$I$3, 0 ) + 4, 0 ), "-" )</f>
        <v>83.7</v>
      </c>
      <c r="G25" s="100" t="str">
        <f ca="1" xml:space="preserve"> IF( $D25 &gt; 1, OFFSET( 'INPUTS│Performance Commitments'!$F$34, MATCH( $C25, 'INPUTS│Performance Commitments'!$C$34:$C$55, 0 ), MATCH( $F$4, 'INPUTS│Performance Commitments'!$G$3:$I$3, 0 ) ), "-" )</f>
        <v>-</v>
      </c>
      <c r="H25" s="100">
        <f xml:space="preserve"> _xlfn.IFNA( VLOOKUP( $C25, 'INPUTS│Performance Commitments'!$C$9:$I$30, MATCH( H$4, 'INPUTS│Performance Commitments'!$G$3:$I$3, 0 ) + 4, 0 ), "-" )</f>
        <v>84</v>
      </c>
      <c r="I25" s="100" t="str">
        <f ca="1" xml:space="preserve"> IF( $D25 &gt; 1, OFFSET( 'INPUTS│Performance Commitments'!$F$9, MATCH( $C25, 'INPUTS│Performance Commitments'!$C$34:$C$55, 0 ), MATCH( $H$4, 'INPUTS│Performance Commitments'!$G$3:$I$3, 0 ) ), "-" )</f>
        <v>-</v>
      </c>
      <c r="J25" s="77" t="str">
        <f t="shared" si="2"/>
        <v>Met</v>
      </c>
      <c r="K25" s="77" t="str">
        <f t="shared" ca="1" si="3"/>
        <v>-</v>
      </c>
      <c r="L25" s="238">
        <f t="shared" ca="1" si="6"/>
        <v>0.5</v>
      </c>
      <c r="N25" s="100">
        <f xml:space="preserve"> _xlfn.IFNA( VLOOKUP( $C25, 'INPUTS│Performance Commitments'!$C$34:$I$55, MATCH( N$4, 'INPUTS│Performance Commitments'!$G$3:$I$3, 0 ) + 4, 0 ), "-" )</f>
        <v>68.91</v>
      </c>
      <c r="O25" s="100">
        <f ca="1" xml:space="preserve"> IF( $D25 &gt; 1, OFFSET( 'INPUTS│Performance Commitments'!$F$34, MATCH( $C25, 'INPUTS│Performance Commitments'!$C$34:$C$55, 0 ), MATCH( $N$4, 'INPUTS│Performance Commitments'!$G$3:$I$3, 0 ) ), "-" )</f>
        <v>12.78</v>
      </c>
      <c r="P25" s="100">
        <f xml:space="preserve"> _xlfn.IFNA( VLOOKUP( $C25, 'INPUTS│Performance Commitments'!$C$9:$I$30, MATCH( P$4, 'INPUTS│Performance Commitments'!$G$3:$I$3, 0 ) + 4, 0 ), "-" )</f>
        <v>70.5</v>
      </c>
      <c r="Q25" s="100">
        <f ca="1" xml:space="preserve"> IF( $D25 &gt; 1, OFFSET( 'INPUTS│Performance Commitments'!$F$9, MATCH( $C25, 'INPUTS│Performance Commitments'!$C$34:$C$55, 0 ), MATCH( $P$4, 'INPUTS│Performance Commitments'!$G$3:$I$3, 0 ) ), "-" )</f>
        <v>13.5</v>
      </c>
      <c r="R25" s="77" t="str">
        <f t="shared" si="4"/>
        <v>Met</v>
      </c>
      <c r="S25" s="77" t="str">
        <f t="shared" ca="1" si="5"/>
        <v>Met</v>
      </c>
      <c r="T25" s="238">
        <f t="shared" ca="1" si="7"/>
        <v>1</v>
      </c>
      <c r="U25" s="47"/>
      <c r="V25" s="229">
        <f xml:space="preserve"> _xlfn.IFNA( VLOOKUP( $C25, 'INPUTS│Performance Commitments'!$C$34:$L$55, MATCH( V$4, 'INPUTS│Performance Commitments'!$K$3:$L$3, 0 ) + 8, 0 ), "-" )</f>
        <v>68.91</v>
      </c>
      <c r="W25" s="229">
        <f ca="1" xml:space="preserve"> IF( $D25 &gt; 1, OFFSET( 'INPUTS│Performance Commitments'!$J$34, MATCH( $C25, 'INPUTS│Performance Commitments'!$C$34:$C$55, 0 ), MATCH( $V$4, 'INPUTS│Performance Commitments'!$K$3:$L$3, 0 ) ), "-" )</f>
        <v>12.78</v>
      </c>
      <c r="X25" s="229">
        <f xml:space="preserve"> _xlfn.IFNA( VLOOKUP( $C25, 'INPUTS│Performance Commitments'!$C$9:$L$30, MATCH( X$4, 'INPUTS│Performance Commitments'!$K$3:$L$3, 0 ) + 8, 0 ), "-" )</f>
        <v>70.5</v>
      </c>
      <c r="Y25" s="229">
        <f ca="1" xml:space="preserve"> IF( $D25 &gt; 1, OFFSET( 'INPUTS│Performance Commitments'!$J$9, MATCH( $C25, 'INPUTS│Performance Commitments'!$C$34:$C$55, 0 ), MATCH( $X$4, 'INPUTS│Performance Commitments'!$K$3:$L$3, 0 ) ), "-" )</f>
        <v>13.5</v>
      </c>
    </row>
    <row r="26" spans="2:26" outlineLevel="1" x14ac:dyDescent="0.25">
      <c r="C26" s="8" t="s">
        <v>110</v>
      </c>
      <c r="D26" s="171">
        <f xml:space="preserve"> COUNTIF( 'INPUTS│Performance Commitments'!$C$9:$C$30, C26 )</f>
        <v>1</v>
      </c>
      <c r="F26" s="100">
        <f xml:space="preserve"> _xlfn.IFNA( VLOOKUP( $C26, 'INPUTS│Performance Commitments'!$C$34:$I$55, MATCH( F$4, 'INPUTS│Performance Commitments'!$G$3:$I$3, 0 ) + 4, 0 ), "-" )</f>
        <v>24.1</v>
      </c>
      <c r="G26" s="100" t="str">
        <f ca="1" xml:space="preserve"> IF( $D26 &gt; 1, OFFSET( 'INPUTS│Performance Commitments'!$F$34, MATCH( $C26, 'INPUTS│Performance Commitments'!$C$34:$C$55, 0 ), MATCH( $F$4, 'INPUTS│Performance Commitments'!$G$3:$I$3, 0 ) ), "-" )</f>
        <v>-</v>
      </c>
      <c r="H26" s="100">
        <f xml:space="preserve"> _xlfn.IFNA( VLOOKUP( $C26, 'INPUTS│Performance Commitments'!$C$9:$I$30, MATCH( H$4, 'INPUTS│Performance Commitments'!$G$3:$I$3, 0 ) + 4, 0 ), "-" )</f>
        <v>24.1</v>
      </c>
      <c r="I26" s="100" t="str">
        <f ca="1" xml:space="preserve"> IF( $D26 &gt; 1, OFFSET( 'INPUTS│Performance Commitments'!$F$9, MATCH( $C26, 'INPUTS│Performance Commitments'!$C$34:$C$55, 0 ), MATCH( $H$4, 'INPUTS│Performance Commitments'!$G$3:$I$3, 0 ) ), "-" )</f>
        <v>-</v>
      </c>
      <c r="J26" s="77" t="str">
        <f xml:space="preserve"> IF( H26 &lt;&gt; "-", IF( F26 &lt;= H26, "Met", "Failed" ), "-" )</f>
        <v>Met</v>
      </c>
      <c r="K26" s="77" t="str">
        <f ca="1" xml:space="preserve"> IF( I26 &lt;&gt; "-", IF( G26 &lt;= I26, "Met", "Failed" ), "-" )</f>
        <v>-</v>
      </c>
      <c r="L26" s="238">
        <f ca="1" xml:space="preserve"> IF( H26 = "-", "-", COUNTIF( J26:K26, "Met" ) / $D26 )</f>
        <v>1</v>
      </c>
      <c r="N26" s="100">
        <f xml:space="preserve"> _xlfn.IFNA( VLOOKUP( $C26, 'INPUTS│Performance Commitments'!$C$34:$I$55, MATCH( N$4, 'INPUTS│Performance Commitments'!$G$3:$I$3, 0 ) + 4, 0 ), "-" )</f>
        <v>23.9</v>
      </c>
      <c r="O26" s="100" t="str">
        <f ca="1" xml:space="preserve"> IF( $D26 &gt; 1, OFFSET( 'INPUTS│Performance Commitments'!$F$34, MATCH( $C26, 'INPUTS│Performance Commitments'!$C$34:$C$55, 0 ), MATCH( $N$4, 'INPUTS│Performance Commitments'!$G$3:$I$3, 0 ) ), "-" )</f>
        <v>-</v>
      </c>
      <c r="P26" s="100">
        <f xml:space="preserve"> _xlfn.IFNA( VLOOKUP( $C26, 'INPUTS│Performance Commitments'!$C$9:$I$30, MATCH( P$4, 'INPUTS│Performance Commitments'!$G$3:$I$3, 0 ) + 4, 0 ), "-" )</f>
        <v>24</v>
      </c>
      <c r="Q26" s="100" t="str">
        <f ca="1" xml:space="preserve"> IF( $D26 &gt; 1, OFFSET( 'INPUTS│Performance Commitments'!$F$9, MATCH( $C26, 'INPUTS│Performance Commitments'!$C$34:$C$55, 0 ), MATCH( $P$4, 'INPUTS│Performance Commitments'!$G$3:$I$3, 0 ) ), "-" )</f>
        <v>-</v>
      </c>
      <c r="R26" s="77" t="str">
        <f xml:space="preserve"> IF( P26 &lt;&gt; "-", IF( N26 &lt;= P26, "Met", "Failed" ), "-" )</f>
        <v>Met</v>
      </c>
      <c r="S26" s="77" t="str">
        <f ca="1" xml:space="preserve"> IF( Q26 &lt;&gt; "-", IF( O26 &lt;= Q26, "Met", "Failed" ), "-" )</f>
        <v>-</v>
      </c>
      <c r="T26" s="238">
        <f ca="1" xml:space="preserve"> IF( P26 = "-", "-", COUNTIF( R26:S26, "Met" ) / $D26 )</f>
        <v>1</v>
      </c>
      <c r="U26" s="47"/>
      <c r="V26" s="229">
        <f xml:space="preserve"> _xlfn.IFNA( VLOOKUP( $C26, 'INPUTS│Performance Commitments'!$C$34:$L$55, MATCH( V$4, 'INPUTS│Performance Commitments'!$K$3:$L$3, 0 ) + 8, 0 ), "-" )</f>
        <v>23.9</v>
      </c>
      <c r="W26" s="229" t="str">
        <f ca="1" xml:space="preserve"> IF( $D26 &gt; 1, OFFSET( 'INPUTS│Performance Commitments'!$J$34, MATCH( $C26, 'INPUTS│Performance Commitments'!$C$34:$C$55, 0 ), MATCH( $V$4, 'INPUTS│Performance Commitments'!$K$3:$L$3, 0 ) ), "-" )</f>
        <v>-</v>
      </c>
      <c r="X26" s="229">
        <f xml:space="preserve"> _xlfn.IFNA( VLOOKUP( $C26, 'INPUTS│Performance Commitments'!$C$9:$L$30, MATCH( X$4, 'INPUTS│Performance Commitments'!$K$3:$L$3, 0 ) + 8, 0 ), "-" )</f>
        <v>24</v>
      </c>
      <c r="Y26" s="229" t="str">
        <f ca="1" xml:space="preserve"> IF( $D26 &gt; 1, OFFSET( 'INPUTS│Performance Commitments'!$J$9, MATCH( $C26, 'INPUTS│Performance Commitments'!$C$34:$C$55, 0 ), MATCH( $X$4, 'INPUTS│Performance Commitments'!$K$3:$L$3, 0 ) ), "-" )</f>
        <v>-</v>
      </c>
    </row>
    <row r="27" spans="2:26" s="79" customFormat="1" outlineLevel="1" x14ac:dyDescent="0.25">
      <c r="B27" s="283"/>
      <c r="C27" s="283"/>
      <c r="D27" s="80"/>
      <c r="E27" s="8"/>
      <c r="F27" s="52"/>
      <c r="G27" s="52"/>
      <c r="H27" s="52"/>
      <c r="I27" s="52"/>
      <c r="J27" s="52"/>
      <c r="K27" s="52"/>
      <c r="L27" s="52"/>
      <c r="M27" s="8"/>
      <c r="N27" s="52"/>
      <c r="O27" s="52"/>
      <c r="P27" s="52"/>
      <c r="Q27" s="52"/>
      <c r="R27" s="52"/>
      <c r="S27" s="52"/>
      <c r="T27" s="52"/>
      <c r="U27" s="52"/>
      <c r="V27" s="52"/>
      <c r="W27" s="52"/>
      <c r="X27" s="52"/>
      <c r="Y27" s="52"/>
      <c r="Z27" s="283"/>
    </row>
    <row r="28" spans="2:26" outlineLevel="1" x14ac:dyDescent="0.25">
      <c r="C28" s="8" t="s">
        <v>118</v>
      </c>
      <c r="D28" s="171">
        <f xml:space="preserve"> COUNTIF( 'INPUTS│Performance Commitments'!$C$9:$C$30, C28 )</f>
        <v>1</v>
      </c>
      <c r="F28" s="100">
        <f xml:space="preserve"> _xlfn.IFNA( VLOOKUP( $C28, 'INPUTS│Performance Commitments'!$C$34:$I$55, MATCH( F$4, 'INPUTS│Performance Commitments'!$G$3:$I$3, 0 ) + 4, 0 ), "-" )</f>
        <v>84</v>
      </c>
      <c r="G28" s="100" t="str">
        <f ca="1" xml:space="preserve"> IF( $D28 &gt; 1, OFFSET( 'INPUTS│Performance Commitments'!$F$34, MATCH( $C28, 'INPUTS│Performance Commitments'!$C$34:$C$55, 0 ), MATCH( $F$4, 'INPUTS│Performance Commitments'!$G$3:$I$3, 0 ) ), "-" )</f>
        <v>-</v>
      </c>
      <c r="H28" s="100">
        <f xml:space="preserve"> _xlfn.IFNA( VLOOKUP( $C28, 'INPUTS│Performance Commitments'!$C$9:$I$30, MATCH( H$4, 'INPUTS│Performance Commitments'!$G$3:$I$3, 0 ) + 4, 0 ), "-" )</f>
        <v>84</v>
      </c>
      <c r="I28" s="100" t="str">
        <f ca="1" xml:space="preserve"> IF( $D28 &gt; 1, OFFSET( 'INPUTS│Performance Commitments'!$F$9, MATCH( $C28, 'INPUTS│Performance Commitments'!$C$34:$C$55, 0 ), MATCH( $H$4, 'INPUTS│Performance Commitments'!$G$3:$I$3, 0 ) ), "-" )</f>
        <v>-</v>
      </c>
      <c r="J28" s="77" t="str">
        <f xml:space="preserve"> IF( H28 &lt;&gt; "-", IF( F28 &lt;= H28, "Met", "Failed" ), "-" )</f>
        <v>Met</v>
      </c>
      <c r="K28" s="77" t="str">
        <f ca="1" xml:space="preserve"> IF( I28 &lt;&gt; "-", IF( G28 &lt;= I28, "Met", "Failed" ), "-" )</f>
        <v>-</v>
      </c>
      <c r="L28" s="78">
        <f ca="1" xml:space="preserve"> IF( H28 = "-", "-", COUNTIF( J28:K28, "Met" ) / $D28 )</f>
        <v>1</v>
      </c>
      <c r="N28" s="100">
        <f xml:space="preserve"> _xlfn.IFNA( VLOOKUP( $C28, 'INPUTS│Performance Commitments'!$C$34:$I$55, MATCH( N$4, 'INPUTS│Performance Commitments'!$G$3:$I$3, 0 ) + 4, 0 ), "-" )</f>
        <v>84</v>
      </c>
      <c r="O28" s="100" t="str">
        <f ca="1" xml:space="preserve"> IF( $D28 &gt; 1, OFFSET( 'INPUTS│Performance Commitments'!$F$34, MATCH( $C28, 'INPUTS│Performance Commitments'!$C$34:$C$55, 0 ), MATCH( $N$4, 'INPUTS│Performance Commitments'!$G$3:$I$3, 0 ) ), "-" )</f>
        <v>-</v>
      </c>
      <c r="P28" s="100">
        <f xml:space="preserve"> _xlfn.IFNA( VLOOKUP( $C28, 'INPUTS│Performance Commitments'!$C$9:$I$30, MATCH( P$4, 'INPUTS│Performance Commitments'!$G$3:$I$3, 0 ) + 4, 0 ), "-" )</f>
        <v>84</v>
      </c>
      <c r="Q28" s="100" t="str">
        <f ca="1" xml:space="preserve"> IF( $D28 &gt; 1, OFFSET( 'INPUTS│Performance Commitments'!$F$9, MATCH( $C28, 'INPUTS│Performance Commitments'!$C$34:$C$55, 0 ), MATCH( $P$4, 'INPUTS│Performance Commitments'!$G$3:$I$3, 0 ) ), "-" )</f>
        <v>-</v>
      </c>
      <c r="R28" s="77" t="str">
        <f xml:space="preserve"> IF( P28 &lt;&gt; "-", IF( N28 &lt;= P28, "Met", "Failed" ), "-" )</f>
        <v>Met</v>
      </c>
      <c r="S28" s="77" t="str">
        <f ca="1" xml:space="preserve"> IF( Q28 &lt;&gt; "-", IF( O28 &lt;= Q28, "Met", "Failed" ), "-" )</f>
        <v>-</v>
      </c>
      <c r="T28" s="78">
        <f ca="1" xml:space="preserve"> IF( P28 = "-", "-", COUNTIF( R28:S28, "Met" ) / $D28 )</f>
        <v>1</v>
      </c>
      <c r="U28" s="47"/>
      <c r="V28" s="77">
        <f xml:space="preserve"> _xlfn.IFNA( VLOOKUP( $C28, 'INPUTS│Performance Commitments'!$C$34:$L$55, MATCH( V$4, 'INPUTS│Performance Commitments'!$K$3:$L$3, 0 ) + 8, 0 ), "-" )</f>
        <v>84</v>
      </c>
      <c r="W28" s="77" t="str">
        <f ca="1" xml:space="preserve"> IF( $D28 &gt; 1, OFFSET( 'INPUTS│Performance Commitments'!$J$34, MATCH( $C28, 'INPUTS│Performance Commitments'!$C$34:$C$55, 0 ), MATCH( $V$4, 'INPUTS│Performance Commitments'!$K$3:$L$3, 0 ) ), "-" )</f>
        <v>-</v>
      </c>
      <c r="X28" s="77">
        <f xml:space="preserve"> _xlfn.IFNA( VLOOKUP( $C28, 'INPUTS│Performance Commitments'!$C$9:$L$30, MATCH( X$4, 'INPUTS│Performance Commitments'!$K$3:$L$3, 0 ) + 8, 0 ), "-" )</f>
        <v>84</v>
      </c>
      <c r="Y28" s="77" t="str">
        <f ca="1" xml:space="preserve"> IF( $D28 &gt; 1, OFFSET( 'INPUTS│Performance Commitments'!$J$9, MATCH( $C28, 'INPUTS│Performance Commitments'!$C$34:$C$55, 0 ), MATCH( $X$4, 'INPUTS│Performance Commitments'!$K$3:$L$3, 0 ) ), "-" )</f>
        <v>-</v>
      </c>
      <c r="Z28" s="76"/>
    </row>
    <row r="29" spans="2:26" outlineLevel="1" x14ac:dyDescent="0.25">
      <c r="C29" s="8" t="s">
        <v>116</v>
      </c>
      <c r="D29" s="171">
        <f xml:space="preserve"> COUNTIF( 'INPUTS│Performance Commitments'!$C$9:$C$30, C29 )</f>
        <v>1</v>
      </c>
      <c r="F29" s="100">
        <f xml:space="preserve"> _xlfn.IFNA( VLOOKUP( $C29, 'INPUTS│Performance Commitments'!$C$34:$I$55, MATCH( F$4, 'INPUTS│Performance Commitments'!$G$3:$I$3, 0 ) + 4, 0 ), "-" )</f>
        <v>18.279320362470102</v>
      </c>
      <c r="G29" s="100" t="str">
        <f ca="1" xml:space="preserve"> IF( $D29 &gt; 1, OFFSET( 'INPUTS│Performance Commitments'!$F$34, MATCH( $C29, 'INPUTS│Performance Commitments'!$C$34:$C$55, 0 ), MATCH( $F$4, 'INPUTS│Performance Commitments'!$G$3:$I$3, 0 ) ), "-" )</f>
        <v>-</v>
      </c>
      <c r="H29" s="100" t="str">
        <f xml:space="preserve"> _xlfn.IFNA( VLOOKUP( $C29, 'INPUTS│Performance Commitments'!$C$9:$I$30, MATCH( H$4, 'INPUTS│Performance Commitments'!$G$3:$I$3, 0 ) + 4, 0 ), "-" )</f>
        <v>-</v>
      </c>
      <c r="I29" s="100" t="str">
        <f ca="1" xml:space="preserve"> IF( $D29 &gt; 1, OFFSET( 'INPUTS│Performance Commitments'!$F$9, MATCH( $C29, 'INPUTS│Performance Commitments'!$C$34:$C$55, 0 ), MATCH( $H$4, 'INPUTS│Performance Commitments'!$G$3:$I$3, 0 ) ), "-" )</f>
        <v>-</v>
      </c>
      <c r="J29" s="77" t="str">
        <f xml:space="preserve"> IF( H29 &lt;&gt; "-", IF( F29 &lt;= H29, "Met", "Failed" ), "-" )</f>
        <v>-</v>
      </c>
      <c r="K29" s="77" t="str">
        <f ca="1" xml:space="preserve"> IF( I29 &lt;&gt; "-", IF( G29 &lt;= I29, "Met", "Failed" ), "-" )</f>
        <v>-</v>
      </c>
      <c r="L29" s="78" t="str">
        <f xml:space="preserve"> IF( H29 = "-", "-", COUNTIF( J29:K29, "Met" ) / $D29 )</f>
        <v>-</v>
      </c>
      <c r="N29" s="100">
        <f xml:space="preserve"> _xlfn.IFNA( VLOOKUP( $C29, 'INPUTS│Performance Commitments'!$C$34:$I$55, MATCH( N$4, 'INPUTS│Performance Commitments'!$G$3:$I$3, 0 ) + 4, 0 ), "-" )</f>
        <v>18.3</v>
      </c>
      <c r="O29" s="100" t="str">
        <f ca="1" xml:space="preserve"> IF( $D29 &gt; 1, OFFSET( 'INPUTS│Performance Commitments'!$F$34, MATCH( $C29, 'INPUTS│Performance Commitments'!$C$34:$C$55, 0 ), MATCH( $N$4, 'INPUTS│Performance Commitments'!$G$3:$I$3, 0 ) ), "-" )</f>
        <v>-</v>
      </c>
      <c r="P29" s="100">
        <f xml:space="preserve"> _xlfn.IFNA( VLOOKUP( $C29, 'INPUTS│Performance Commitments'!$C$9:$I$30, MATCH( P$4, 'INPUTS│Performance Commitments'!$G$3:$I$3, 0 ) + 4, 0 ), "-" )</f>
        <v>20</v>
      </c>
      <c r="Q29" s="100" t="str">
        <f ca="1" xml:space="preserve"> IF( $D29 &gt; 1, OFFSET( 'INPUTS│Performance Commitments'!$F$9, MATCH( $C29, 'INPUTS│Performance Commitments'!$C$34:$C$55, 0 ), MATCH( $P$4, 'INPUTS│Performance Commitments'!$G$3:$I$3, 0 ) ), "-" )</f>
        <v>-</v>
      </c>
      <c r="R29" s="77" t="str">
        <f xml:space="preserve"> IF( P29 &lt;&gt; "-", IF( N29 &lt;= P29, "Met", "Failed" ), "-" )</f>
        <v>Met</v>
      </c>
      <c r="S29" s="77" t="str">
        <f ca="1" xml:space="preserve"> IF( Q29 &lt;&gt; "-", IF( O29 &lt;= Q29, "Met", "Failed" ), "-" )</f>
        <v>-</v>
      </c>
      <c r="T29" s="78">
        <f ca="1" xml:space="preserve"> IF( P29 = "-", "-", COUNTIF( R29:S29, "Met" ) / $D29 )</f>
        <v>1</v>
      </c>
      <c r="U29" s="47"/>
      <c r="V29" s="77">
        <f xml:space="preserve"> _xlfn.IFNA( VLOOKUP( $C29, 'INPUTS│Performance Commitments'!$C$34:$L$55, MATCH( V$4, 'INPUTS│Performance Commitments'!$K$3:$L$3, 0 ) + 8, 0 ), "-" )</f>
        <v>18.3</v>
      </c>
      <c r="W29" s="77" t="str">
        <f ca="1" xml:space="preserve"> IF( $D29 &gt; 1, OFFSET( 'INPUTS│Performance Commitments'!$J$34, MATCH( $C29, 'INPUTS│Performance Commitments'!$C$34:$C$55, 0 ), MATCH( $V$4, 'INPUTS│Performance Commitments'!$K$3:$L$3, 0 ) ), "-" )</f>
        <v>-</v>
      </c>
      <c r="X29" s="77">
        <f xml:space="preserve"> _xlfn.IFNA( VLOOKUP( $C29, 'INPUTS│Performance Commitments'!$C$9:$L$30, MATCH( X$4, 'INPUTS│Performance Commitments'!$K$3:$L$3, 0 ) + 8, 0 ), "-" )</f>
        <v>20</v>
      </c>
      <c r="Y29" s="77" t="str">
        <f ca="1" xml:space="preserve"> IF( $D29 &gt; 1, OFFSET( 'INPUTS│Performance Commitments'!$J$9, MATCH( $C29, 'INPUTS│Performance Commitments'!$C$34:$C$55, 0 ), MATCH( $X$4, 'INPUTS│Performance Commitments'!$K$3:$L$3, 0 ) ), "-" )</f>
        <v>-</v>
      </c>
      <c r="Z29" s="76"/>
    </row>
    <row r="31" spans="2:26" ht="13.5" x14ac:dyDescent="0.35">
      <c r="B31" s="9" t="s">
        <v>163</v>
      </c>
      <c r="C31" s="9"/>
      <c r="D31" s="10"/>
      <c r="E31" s="9"/>
      <c r="F31" s="9"/>
      <c r="G31" s="9"/>
      <c r="H31" s="9"/>
      <c r="I31" s="9"/>
      <c r="J31" s="9"/>
      <c r="K31" s="9"/>
      <c r="L31" s="9"/>
      <c r="M31" s="9"/>
      <c r="N31" s="9"/>
      <c r="O31" s="9"/>
      <c r="P31" s="9"/>
      <c r="Q31" s="9"/>
      <c r="R31" s="9"/>
      <c r="S31" s="9"/>
      <c r="T31" s="9"/>
      <c r="U31" s="9"/>
      <c r="V31" s="9"/>
      <c r="W31" s="9"/>
      <c r="X31" s="9"/>
      <c r="Y31" s="9"/>
      <c r="Z31" s="9"/>
    </row>
    <row r="32" spans="2:26" outlineLevel="1" x14ac:dyDescent="0.25"/>
    <row r="33" spans="3:25" outlineLevel="1" x14ac:dyDescent="0.25">
      <c r="C33" s="83" t="s">
        <v>80</v>
      </c>
      <c r="D33" s="171">
        <f xml:space="preserve"> COUNTIF( 'INPUTS│Performance Commitments'!$C$61:$C$73, C33 )</f>
        <v>1</v>
      </c>
      <c r="E33" s="83"/>
      <c r="F33" s="100">
        <f xml:space="preserve"> _xlfn.IFNA( VLOOKUP( $C33, 'INPUTS│Performance Commitments'!$C$77:$I$89, MATCH( F$4, 'INPUTS│Performance Commitments'!$G$3:$I$3, 0 ) + 4, 0 ), "-" )</f>
        <v>-11</v>
      </c>
      <c r="G33" s="100" t="str">
        <f ca="1" xml:space="preserve"> IF( $D33 &gt; 1, OFFSET( 'INPUTS│Performance Commitments'!$F$77, MATCH( $C33, 'INPUTS│Performance Commitments'!$C$77:$C$89, 0 ), MATCH( $F$4, 'INPUTS│Performance Commitments'!$G$3:$I$3, 0 ) ), "-" )</f>
        <v>-</v>
      </c>
      <c r="H33" s="100" t="str">
        <f xml:space="preserve"> _xlfn.IFNA( VLOOKUP( $C33, 'INPUTS│Performance Commitments'!$C$61:$I$73, MATCH( H$4, 'INPUTS│Performance Commitments'!$G$3:$I$3, 0 ) + 4, 0 ), "-" )</f>
        <v>-</v>
      </c>
      <c r="I33" s="100" t="str">
        <f ca="1" xml:space="preserve"> IF( $D33 &gt; 1, OFFSET( 'INPUTS│Performance Commitments'!$F$61, MATCH( $C33, 'INPUTS│Performance Commitments'!$C$61:$C$73, 0 ), MATCH( $H$4, 'INPUTS│Performance Commitments'!$G$3:$I$3, 0 ) ), "-" )</f>
        <v>-</v>
      </c>
      <c r="J33" s="77" t="str">
        <f xml:space="preserve"> IF( H33 &lt;&gt; "-", IF( F33 &gt;= H33, "Met", "Failed" ), "-" )</f>
        <v>-</v>
      </c>
      <c r="K33" s="77" t="str">
        <f ca="1" xml:space="preserve"> IF( I33 &lt;&gt; "-", IF( G33 &gt;= I33, "Met", "Failed" ), "-" )</f>
        <v>-</v>
      </c>
      <c r="L33" s="238" t="str">
        <f t="shared" ref="L33:L49" si="8" xml:space="preserve"> IF( H33 = "-", "-", COUNTIF( J33:K33, "Met" ) / $D33 )</f>
        <v>-</v>
      </c>
      <c r="M33" s="83"/>
      <c r="N33" s="100">
        <f xml:space="preserve"> _xlfn.IFNA( VLOOKUP( $C33, 'INPUTS│Performance Commitments'!$C$77:$I$89, MATCH( N$4, 'INPUTS│Performance Commitments'!$G$3:$I$3, 0 ) + 4, 0 ), "-" )</f>
        <v>-4</v>
      </c>
      <c r="O33" s="100" t="str">
        <f ca="1" xml:space="preserve"> IF( $D33 &gt; 1, OFFSET( 'INPUTS│Performance Commitments'!$F$77, MATCH( $C33, 'INPUTS│Performance Commitments'!$C$77:$C$89, 0 ), MATCH( $N$4, 'INPUTS│Performance Commitments'!$G$3:$I$3, 0 ) ), "-" )</f>
        <v>-</v>
      </c>
      <c r="P33" s="100">
        <f xml:space="preserve"> _xlfn.IFNA( VLOOKUP( $C33, 'INPUTS│Performance Commitments'!$C$61:$I$73, MATCH( P$4, 'INPUTS│Performance Commitments'!$G$3:$I$3, 0 ) + 4, 0 ), "-" )</f>
        <v>7</v>
      </c>
      <c r="Q33" s="100" t="str">
        <f ca="1" xml:space="preserve"> IF( $D33 &gt; 1, OFFSET( 'INPUTS│Performance Commitments'!$F$61, MATCH( $C33, 'INPUTS│Performance Commitments'!$C$61:$C$73, 0 ), MATCH( $P$4, 'INPUTS│Performance Commitments'!$G$3:$I$3, 0 ) ), "-" )</f>
        <v>-</v>
      </c>
      <c r="R33" s="77" t="str">
        <f xml:space="preserve"> IF( P33 &lt;&gt; "-", IF( N33 &gt;= P33, "Met", "Failed" ), "-" )</f>
        <v>Failed</v>
      </c>
      <c r="S33" s="77" t="str">
        <f ca="1" xml:space="preserve"> IF( Q33 &lt;&gt; "-", IF( O33 &gt;= Q33, "Met", "Failed" ), "-" )</f>
        <v>-</v>
      </c>
      <c r="T33" s="238">
        <f t="shared" ref="T33:T49" ca="1" si="9" xml:space="preserve"> IF( P33 = "-", "-", COUNTIF( R33:S33, "Met" ) / $D33 )</f>
        <v>0</v>
      </c>
      <c r="U33" s="83"/>
      <c r="V33" s="229">
        <f xml:space="preserve"> _xlfn.IFNA( VLOOKUP( $C33, 'INPUTS│Performance Commitments'!$C$77:$L$89, MATCH( V$4, 'INPUTS│Performance Commitments'!$K$3:$L$3, 0 ) + 8, 0 ), "-" )</f>
        <v>134.821642266841</v>
      </c>
      <c r="W33" s="229" t="str">
        <f ca="1" xml:space="preserve"> IF( $D33 &gt; 1, OFFSET( 'INPUTS│Performance Commitments'!$J$77, MATCH( $C33, 'INPUTS│Performance Commitments'!$C$77:$C$89, 0 ), MATCH( $V$4, 'INPUTS│Performance Commitments'!$K$3:$L$3, 0 ) ), "-" )</f>
        <v>-</v>
      </c>
      <c r="X33" s="229">
        <f xml:space="preserve"> _xlfn.IFNA( VLOOKUP( $C33, 'INPUTS│Performance Commitments'!$C$61:$L$73, MATCH( X$4, 'INPUTS│Performance Commitments'!$K$3:$L$3, 0 ) + 8, 0 ), "-" )</f>
        <v>130.16967676918807</v>
      </c>
      <c r="Y33" s="229" t="str">
        <f ca="1" xml:space="preserve"> IF( $D33 &gt; 1, OFFSET( 'INPUTS│Performance Commitments'!$J$61, MATCH( $C33, 'INPUTS│Performance Commitments'!$C$61:$C$73, 0 ), MATCH( $X$4, 'INPUTS│Performance Commitments'!$K$3:$L$3, 0 ) ), "-" )</f>
        <v>-</v>
      </c>
    </row>
    <row r="34" spans="3:25" outlineLevel="1" x14ac:dyDescent="0.25">
      <c r="C34" s="83" t="s">
        <v>82</v>
      </c>
      <c r="D34" s="171">
        <f xml:space="preserve"> COUNTIF( 'INPUTS│Performance Commitments'!$C$61:$C$73, C34 )</f>
        <v>0</v>
      </c>
      <c r="E34" s="83"/>
      <c r="F34" s="100" t="str">
        <f xml:space="preserve"> _xlfn.IFNA( VLOOKUP( $C34, 'INPUTS│Performance Commitments'!$C$77:$I$89, MATCH( F$4, 'INPUTS│Performance Commitments'!$G$3:$I$3, 0 ) + 4, 0 ), "-" )</f>
        <v>-</v>
      </c>
      <c r="G34" s="100" t="str">
        <f ca="1" xml:space="preserve"> IF( $D34 &gt; 1, OFFSET( 'INPUTS│Performance Commitments'!$F$77, MATCH( $C34, 'INPUTS│Performance Commitments'!$C$77:$C$89, 0 ), MATCH( $F$4, 'INPUTS│Performance Commitments'!$G$3:$I$3, 0 ) ), "-" )</f>
        <v>-</v>
      </c>
      <c r="H34" s="100" t="str">
        <f xml:space="preserve"> _xlfn.IFNA( VLOOKUP( $C34, 'INPUTS│Performance Commitments'!$C$61:$I$73, MATCH( H$4, 'INPUTS│Performance Commitments'!$G$3:$I$3, 0 ) + 4, 0 ), "-" )</f>
        <v>-</v>
      </c>
      <c r="I34" s="100" t="str">
        <f ca="1" xml:space="preserve"> IF( $D34 &gt; 1, OFFSET( 'INPUTS│Performance Commitments'!$F$61, MATCH( $C34, 'INPUTS│Performance Commitments'!$C$61:$C$73, 0 ), MATCH( $H$4, 'INPUTS│Performance Commitments'!$G$3:$I$3, 0 ) ), "-" )</f>
        <v>-</v>
      </c>
      <c r="J34" s="77" t="str">
        <f t="shared" ref="J34:J49" si="10" xml:space="preserve"> IF( H34 &lt;&gt; "-", IF( F34 &lt;= H34, "Met", "Failed" ), "-" )</f>
        <v>-</v>
      </c>
      <c r="K34" s="77" t="str">
        <f t="shared" ref="K34:K49" ca="1" si="11" xml:space="preserve"> IF( I34 &lt;&gt; "-", IF( G34 &lt;= I34, "Met", "Failed" ), "-" )</f>
        <v>-</v>
      </c>
      <c r="L34" s="238" t="str">
        <f t="shared" si="8"/>
        <v>-</v>
      </c>
      <c r="M34" s="83"/>
      <c r="N34" s="100" t="str">
        <f xml:space="preserve"> _xlfn.IFNA( VLOOKUP( $C34, 'INPUTS│Performance Commitments'!$C$77:$I$89, MATCH( N$4, 'INPUTS│Performance Commitments'!$G$3:$I$3, 0 ) + 4, 0 ), "-" )</f>
        <v>-</v>
      </c>
      <c r="O34" s="100" t="str">
        <f ca="1" xml:space="preserve"> IF( $D34 &gt; 1, OFFSET( 'INPUTS│Performance Commitments'!$F$77, MATCH( $C34, 'INPUTS│Performance Commitments'!$C$77:$C$89, 0 ), MATCH( $N$4, 'INPUTS│Performance Commitments'!$G$3:$I$3, 0 ) ), "-" )</f>
        <v>-</v>
      </c>
      <c r="P34" s="100" t="str">
        <f xml:space="preserve"> _xlfn.IFNA( VLOOKUP( $C34, 'INPUTS│Performance Commitments'!$C$61:$I$73, MATCH( P$4, 'INPUTS│Performance Commitments'!$G$3:$I$3, 0 ) + 4, 0 ), "-" )</f>
        <v>-</v>
      </c>
      <c r="Q34" s="100" t="str">
        <f ca="1" xml:space="preserve"> IF( $D34 &gt; 1, OFFSET( 'INPUTS│Performance Commitments'!$F$61, MATCH( $C34, 'INPUTS│Performance Commitments'!$C$61:$C$73, 0 ), MATCH( $P$4, 'INPUTS│Performance Commitments'!$G$3:$I$3, 0 ) ), "-" )</f>
        <v>-</v>
      </c>
      <c r="R34" s="77" t="str">
        <f t="shared" ref="R34:R39" si="12" xml:space="preserve"> IF( P34 &lt;&gt; "-", IF( N34 &lt;= P34, "Met", "Failed" ), "-" )</f>
        <v>-</v>
      </c>
      <c r="S34" s="77" t="str">
        <f t="shared" ref="S34:S39" ca="1" si="13" xml:space="preserve"> IF( Q34 &lt;&gt; "-", IF( O34 &lt;= Q34, "Met", "Failed" ), "-" )</f>
        <v>-</v>
      </c>
      <c r="T34" s="238" t="str">
        <f t="shared" si="9"/>
        <v>-</v>
      </c>
      <c r="U34" s="83"/>
      <c r="V34" s="229" t="str">
        <f xml:space="preserve"> _xlfn.IFNA( VLOOKUP( $C34, 'INPUTS│Performance Commitments'!$C$77:$L$89, MATCH( V$4, 'INPUTS│Performance Commitments'!$K$3:$L$3, 0 ) + 8, 0 ), "-" )</f>
        <v>-</v>
      </c>
      <c r="W34" s="229" t="str">
        <f ca="1" xml:space="preserve"> IF( $D34 &gt; 1, OFFSET( 'INPUTS│Performance Commitments'!$J$77, MATCH( $C34, 'INPUTS│Performance Commitments'!$C$77:$C$89, 0 ), MATCH( $V$4, 'INPUTS│Performance Commitments'!$K$3:$L$3, 0 ) ), "-" )</f>
        <v>-</v>
      </c>
      <c r="X34" s="229" t="str">
        <f xml:space="preserve"> _xlfn.IFNA( VLOOKUP( $C34, 'INPUTS│Performance Commitments'!$C$61:$L$73, MATCH( X$4, 'INPUTS│Performance Commitments'!$K$3:$L$3, 0 ) + 8, 0 ), "-" )</f>
        <v>-</v>
      </c>
      <c r="Y34" s="229" t="str">
        <f ca="1" xml:space="preserve"> IF( $D34 &gt; 1, OFFSET( 'INPUTS│Performance Commitments'!$J$61, MATCH( $C34, 'INPUTS│Performance Commitments'!$C$61:$C$73, 0 ), MATCH( $X$4, 'INPUTS│Performance Commitments'!$K$3:$L$3, 0 ) ), "-" )</f>
        <v>-</v>
      </c>
    </row>
    <row r="35" spans="3:25" outlineLevel="1" x14ac:dyDescent="0.25">
      <c r="C35" s="83" t="s">
        <v>85</v>
      </c>
      <c r="D35" s="171">
        <f xml:space="preserve"> COUNTIF( 'INPUTS│Performance Commitments'!$C$61:$C$73, C35 )</f>
        <v>1</v>
      </c>
      <c r="E35" s="83"/>
      <c r="F35" s="100">
        <f xml:space="preserve"> _xlfn.IFNA( VLOOKUP( $C35, 'INPUTS│Performance Commitments'!$C$77:$I$89, MATCH( F$4, 'INPUTS│Performance Commitments'!$G$3:$I$3, 0 ) + 4, 0 ), "-" )</f>
        <v>140.40690574617878</v>
      </c>
      <c r="G35" s="100" t="str">
        <f ca="1" xml:space="preserve"> IF( $D35 &gt; 1, OFFSET( 'INPUTS│Performance Commitments'!$F$77, MATCH( $C35, 'INPUTS│Performance Commitments'!$C$77:$C$89, 0 ), MATCH( $F$4, 'INPUTS│Performance Commitments'!$G$3:$I$3, 0 ) ), "-" )</f>
        <v>-</v>
      </c>
      <c r="H35" s="100">
        <f xml:space="preserve"> _xlfn.IFNA( VLOOKUP( $C35, 'INPUTS│Performance Commitments'!$C$61:$I$73, MATCH( H$4, 'INPUTS│Performance Commitments'!$G$3:$I$3, 0 ) + 4, 0 ), "-" )</f>
        <v>128.37</v>
      </c>
      <c r="I35" s="100" t="str">
        <f ca="1" xml:space="preserve"> IF( $D35 &gt; 1, OFFSET( 'INPUTS│Performance Commitments'!$F$61, MATCH( $C35, 'INPUTS│Performance Commitments'!$C$61:$C$73, 0 ), MATCH( $H$4, 'INPUTS│Performance Commitments'!$G$3:$I$3, 0 ) ), "-" )</f>
        <v>-</v>
      </c>
      <c r="J35" s="77" t="str">
        <f t="shared" si="10"/>
        <v>Failed</v>
      </c>
      <c r="K35" s="77" t="str">
        <f t="shared" ca="1" si="11"/>
        <v>-</v>
      </c>
      <c r="L35" s="238">
        <f t="shared" ca="1" si="8"/>
        <v>0</v>
      </c>
      <c r="M35" s="83"/>
      <c r="N35" s="100">
        <f xml:space="preserve"> _xlfn.IFNA( VLOOKUP( $C35, 'INPUTS│Performance Commitments'!$C$77:$I$89, MATCH( N$4, 'INPUTS│Performance Commitments'!$G$3:$I$3, 0 ) + 4, 0 ), "-" )</f>
        <v>141.25074237770039</v>
      </c>
      <c r="O35" s="100" t="str">
        <f ca="1" xml:space="preserve"> IF( $D35 &gt; 1, OFFSET( 'INPUTS│Performance Commitments'!$F$77, MATCH( $C35, 'INPUTS│Performance Commitments'!$C$77:$C$89, 0 ), MATCH( $N$4, 'INPUTS│Performance Commitments'!$G$3:$I$3, 0 ) ), "-" )</f>
        <v>-</v>
      </c>
      <c r="P35" s="100">
        <f xml:space="preserve"> _xlfn.IFNA( VLOOKUP( $C35, 'INPUTS│Performance Commitments'!$C$61:$I$73, MATCH( P$4, 'INPUTS│Performance Commitments'!$G$3:$I$3, 0 ) + 4, 0 ), "-" )</f>
        <v>127.28</v>
      </c>
      <c r="Q35" s="100" t="str">
        <f ca="1" xml:space="preserve"> IF( $D35 &gt; 1, OFFSET( 'INPUTS│Performance Commitments'!$F$61, MATCH( $C35, 'INPUTS│Performance Commitments'!$C$61:$C$73, 0 ), MATCH( $P$4, 'INPUTS│Performance Commitments'!$G$3:$I$3, 0 ) ), "-" )</f>
        <v>-</v>
      </c>
      <c r="R35" s="77" t="str">
        <f t="shared" si="12"/>
        <v>Failed</v>
      </c>
      <c r="S35" s="77" t="str">
        <f t="shared" ca="1" si="13"/>
        <v>-</v>
      </c>
      <c r="T35" s="238">
        <f t="shared" ca="1" si="9"/>
        <v>0</v>
      </c>
      <c r="U35" s="83"/>
      <c r="V35" s="229">
        <f xml:space="preserve"> _xlfn.IFNA( VLOOKUP( $C35, 'INPUTS│Performance Commitments'!$C$77:$L$89, MATCH( V$4, 'INPUTS│Performance Commitments'!$K$3:$L$3, 0 ) + 8, 0 ), "-" )</f>
        <v>141.25074237770039</v>
      </c>
      <c r="W35" s="229" t="str">
        <f ca="1" xml:space="preserve"> IF( $D35 &gt; 1, OFFSET( 'INPUTS│Performance Commitments'!$J$77, MATCH( $C35, 'INPUTS│Performance Commitments'!$C$77:$C$89, 0 ), MATCH( $V$4, 'INPUTS│Performance Commitments'!$K$3:$L$3, 0 ) ), "-" )</f>
        <v>-</v>
      </c>
      <c r="X35" s="229">
        <f xml:space="preserve"> _xlfn.IFNA( VLOOKUP( $C35, 'INPUTS│Performance Commitments'!$C$61:$L$73, MATCH( X$4, 'INPUTS│Performance Commitments'!$K$3:$L$3, 0 ) + 8, 0 ), "-" )</f>
        <v>127.28</v>
      </c>
      <c r="Y35" s="229" t="str">
        <f ca="1" xml:space="preserve"> IF( $D35 &gt; 1, OFFSET( 'INPUTS│Performance Commitments'!$J$61, MATCH( $C35, 'INPUTS│Performance Commitments'!$C$61:$C$73, 0 ), MATCH( $X$4, 'INPUTS│Performance Commitments'!$K$3:$L$3, 0 ) ), "-" )</f>
        <v>-</v>
      </c>
    </row>
    <row r="36" spans="3:25" outlineLevel="1" x14ac:dyDescent="0.25">
      <c r="C36" s="83" t="s">
        <v>87</v>
      </c>
      <c r="D36" s="171">
        <f xml:space="preserve"> COUNTIF( 'INPUTS│Performance Commitments'!$C$61:$C$73, C36 )</f>
        <v>0</v>
      </c>
      <c r="E36" s="83"/>
      <c r="F36" s="100" t="str">
        <f xml:space="preserve"> _xlfn.IFNA( VLOOKUP( $C36, 'INPUTS│Performance Commitments'!$C$77:$I$89, MATCH( F$4, 'INPUTS│Performance Commitments'!$G$3:$I$3, 0 ) + 4, 0 ), "-" )</f>
        <v>-</v>
      </c>
      <c r="G36" s="100" t="str">
        <f ca="1" xml:space="preserve"> IF( $D36 &gt; 1, OFFSET( 'INPUTS│Performance Commitments'!$F$77, MATCH( $C36, 'INPUTS│Performance Commitments'!$C$77:$C$89, 0 ), MATCH( $F$4, 'INPUTS│Performance Commitments'!$G$3:$I$3, 0 ) ), "-" )</f>
        <v>-</v>
      </c>
      <c r="H36" s="100" t="str">
        <f xml:space="preserve"> _xlfn.IFNA( VLOOKUP( $C36, 'INPUTS│Performance Commitments'!$C$61:$I$73, MATCH( H$4, 'INPUTS│Performance Commitments'!$G$3:$I$3, 0 ) + 4, 0 ), "-" )</f>
        <v>-</v>
      </c>
      <c r="I36" s="100" t="str">
        <f ca="1" xml:space="preserve"> IF( $D36 &gt; 1, OFFSET( 'INPUTS│Performance Commitments'!$F$61, MATCH( $C36, 'INPUTS│Performance Commitments'!$C$61:$C$73, 0 ), MATCH( $H$4, 'INPUTS│Performance Commitments'!$G$3:$I$3, 0 ) ), "-" )</f>
        <v>-</v>
      </c>
      <c r="J36" s="77" t="str">
        <f t="shared" si="10"/>
        <v>-</v>
      </c>
      <c r="K36" s="77" t="str">
        <f t="shared" ca="1" si="11"/>
        <v>-</v>
      </c>
      <c r="L36" s="238" t="str">
        <f t="shared" si="8"/>
        <v>-</v>
      </c>
      <c r="M36" s="83"/>
      <c r="N36" s="100" t="str">
        <f xml:space="preserve"> _xlfn.IFNA( VLOOKUP( $C36, 'INPUTS│Performance Commitments'!$C$77:$I$89, MATCH( N$4, 'INPUTS│Performance Commitments'!$G$3:$I$3, 0 ) + 4, 0 ), "-" )</f>
        <v>-</v>
      </c>
      <c r="O36" s="100" t="str">
        <f ca="1" xml:space="preserve"> IF( $D36 &gt; 1, OFFSET( 'INPUTS│Performance Commitments'!$F$77, MATCH( $C36, 'INPUTS│Performance Commitments'!$C$77:$C$89, 0 ), MATCH( $N$4, 'INPUTS│Performance Commitments'!$G$3:$I$3, 0 ) ), "-" )</f>
        <v>-</v>
      </c>
      <c r="P36" s="100" t="str">
        <f xml:space="preserve"> _xlfn.IFNA( VLOOKUP( $C36, 'INPUTS│Performance Commitments'!$C$61:$I$73, MATCH( P$4, 'INPUTS│Performance Commitments'!$G$3:$I$3, 0 ) + 4, 0 ), "-" )</f>
        <v>-</v>
      </c>
      <c r="Q36" s="100" t="str">
        <f ca="1" xml:space="preserve"> IF( $D36 &gt; 1, OFFSET( 'INPUTS│Performance Commitments'!$F$61, MATCH( $C36, 'INPUTS│Performance Commitments'!$C$61:$C$73, 0 ), MATCH( $P$4, 'INPUTS│Performance Commitments'!$G$3:$I$3, 0 ) ), "-" )</f>
        <v>-</v>
      </c>
      <c r="R36" s="77" t="str">
        <f t="shared" si="12"/>
        <v>-</v>
      </c>
      <c r="S36" s="77" t="str">
        <f t="shared" ca="1" si="13"/>
        <v>-</v>
      </c>
      <c r="T36" s="238" t="str">
        <f t="shared" si="9"/>
        <v>-</v>
      </c>
      <c r="U36" s="83"/>
      <c r="V36" s="229" t="str">
        <f xml:space="preserve"> _xlfn.IFNA( VLOOKUP( $C36, 'INPUTS│Performance Commitments'!$C$77:$L$89, MATCH( V$4, 'INPUTS│Performance Commitments'!$K$3:$L$3, 0 ) + 8, 0 ), "-" )</f>
        <v>-</v>
      </c>
      <c r="W36" s="229" t="str">
        <f ca="1" xml:space="preserve"> IF( $D36 &gt; 1, OFFSET( 'INPUTS│Performance Commitments'!$J$77, MATCH( $C36, 'INPUTS│Performance Commitments'!$C$77:$C$89, 0 ), MATCH( $V$4, 'INPUTS│Performance Commitments'!$K$3:$L$3, 0 ) ), "-" )</f>
        <v>-</v>
      </c>
      <c r="X36" s="229" t="str">
        <f xml:space="preserve"> _xlfn.IFNA( VLOOKUP( $C36, 'INPUTS│Performance Commitments'!$C$61:$L$73, MATCH( X$4, 'INPUTS│Performance Commitments'!$K$3:$L$3, 0 ) + 8, 0 ), "-" )</f>
        <v>-</v>
      </c>
      <c r="Y36" s="229" t="str">
        <f ca="1" xml:space="preserve"> IF( $D36 &gt; 1, OFFSET( 'INPUTS│Performance Commitments'!$J$61, MATCH( $C36, 'INPUTS│Performance Commitments'!$C$61:$C$73, 0 ), MATCH( $X$4, 'INPUTS│Performance Commitments'!$K$3:$L$3, 0 ) ), "-" )</f>
        <v>-</v>
      </c>
    </row>
    <row r="37" spans="3:25" outlineLevel="1" x14ac:dyDescent="0.25">
      <c r="C37" s="83" t="s">
        <v>89</v>
      </c>
      <c r="D37" s="171">
        <f xml:space="preserve"> COUNTIF( 'INPUTS│Performance Commitments'!$C$61:$C$73, C37 )</f>
        <v>1</v>
      </c>
      <c r="E37" s="83"/>
      <c r="F37" s="100">
        <f xml:space="preserve"> _xlfn.IFNA( VLOOKUP( $C37, 'INPUTS│Performance Commitments'!$C$77:$I$89, MATCH( F$4, 'INPUTS│Performance Commitments'!$G$3:$I$3, 0 ) + 4, 0 ), "-" )</f>
        <v>132.76</v>
      </c>
      <c r="G37" s="100" t="str">
        <f ca="1" xml:space="preserve"> IF( $D37 &gt; 1, OFFSET( 'INPUTS│Performance Commitments'!$F$77, MATCH( $C37, 'INPUTS│Performance Commitments'!$C$77:$C$89, 0 ), MATCH( $F$4, 'INPUTS│Performance Commitments'!$G$3:$I$3, 0 ) ), "-" )</f>
        <v>-</v>
      </c>
      <c r="H37" s="100">
        <f xml:space="preserve"> _xlfn.IFNA( VLOOKUP( $C37, 'INPUTS│Performance Commitments'!$C$61:$I$73, MATCH( H$4, 'INPUTS│Performance Commitments'!$G$3:$I$3, 0 ) + 4, 0 ), "-" )</f>
        <v>128.37</v>
      </c>
      <c r="I37" s="100" t="str">
        <f ca="1" xml:space="preserve"> IF( $D37 &gt; 1, OFFSET( 'INPUTS│Performance Commitments'!$F$61, MATCH( $C37, 'INPUTS│Performance Commitments'!$C$61:$C$73, 0 ), MATCH( $H$4, 'INPUTS│Performance Commitments'!$G$3:$I$3, 0 ) ), "-" )</f>
        <v>-</v>
      </c>
      <c r="J37" s="77" t="str">
        <f t="shared" si="10"/>
        <v>Failed</v>
      </c>
      <c r="K37" s="77" t="str">
        <f t="shared" ca="1" si="11"/>
        <v>-</v>
      </c>
      <c r="L37" s="238">
        <f t="shared" ca="1" si="8"/>
        <v>0</v>
      </c>
      <c r="M37" s="83"/>
      <c r="N37" s="100">
        <f xml:space="preserve"> _xlfn.IFNA( VLOOKUP( $C37, 'INPUTS│Performance Commitments'!$C$77:$I$89, MATCH( N$4, 'INPUTS│Performance Commitments'!$G$3:$I$3, 0 ) + 4, 0 ), "-" )</f>
        <v>136.5335059822356</v>
      </c>
      <c r="O37" s="100" t="str">
        <f ca="1" xml:space="preserve"> IF( $D37 &gt; 1, OFFSET( 'INPUTS│Performance Commitments'!$F$77, MATCH( $C37, 'INPUTS│Performance Commitments'!$C$77:$C$89, 0 ), MATCH( $N$4, 'INPUTS│Performance Commitments'!$G$3:$I$3, 0 ) ), "-" )</f>
        <v>-</v>
      </c>
      <c r="P37" s="100">
        <f xml:space="preserve"> _xlfn.IFNA( VLOOKUP( $C37, 'INPUTS│Performance Commitments'!$C$61:$I$73, MATCH( P$4, 'INPUTS│Performance Commitments'!$G$3:$I$3, 0 ) + 4, 0 ), "-" )</f>
        <v>127.28</v>
      </c>
      <c r="Q37" s="100" t="str">
        <f ca="1" xml:space="preserve"> IF( $D37 &gt; 1, OFFSET( 'INPUTS│Performance Commitments'!$F$61, MATCH( $C37, 'INPUTS│Performance Commitments'!$C$61:$C$73, 0 ), MATCH( $P$4, 'INPUTS│Performance Commitments'!$G$3:$I$3, 0 ) ), "-" )</f>
        <v>-</v>
      </c>
      <c r="R37" s="77" t="str">
        <f t="shared" si="12"/>
        <v>Failed</v>
      </c>
      <c r="S37" s="77" t="str">
        <f t="shared" ca="1" si="13"/>
        <v>-</v>
      </c>
      <c r="T37" s="238">
        <f t="shared" ca="1" si="9"/>
        <v>0</v>
      </c>
      <c r="U37" s="83"/>
      <c r="V37" s="229">
        <f xml:space="preserve"> _xlfn.IFNA( VLOOKUP( $C37, 'INPUTS│Performance Commitments'!$C$77:$L$89, MATCH( V$4, 'INPUTS│Performance Commitments'!$K$3:$L$3, 0 ) + 8, 0 ), "-" )</f>
        <v>136.5335059822356</v>
      </c>
      <c r="W37" s="229" t="str">
        <f ca="1" xml:space="preserve"> IF( $D37 &gt; 1, OFFSET( 'INPUTS│Performance Commitments'!$J$77, MATCH( $C37, 'INPUTS│Performance Commitments'!$C$77:$C$89, 0 ), MATCH( $V$4, 'INPUTS│Performance Commitments'!$K$3:$L$3, 0 ) ), "-" )</f>
        <v>-</v>
      </c>
      <c r="X37" s="229">
        <f xml:space="preserve"> _xlfn.IFNA( VLOOKUP( $C37, 'INPUTS│Performance Commitments'!$C$61:$L$73, MATCH( X$4, 'INPUTS│Performance Commitments'!$K$3:$L$3, 0 ) + 8, 0 ), "-" )</f>
        <v>127.28</v>
      </c>
      <c r="Y37" s="229" t="str">
        <f ca="1" xml:space="preserve"> IF( $D37 &gt; 1, OFFSET( 'INPUTS│Performance Commitments'!$J$61, MATCH( $C37, 'INPUTS│Performance Commitments'!$C$61:$C$73, 0 ), MATCH( $X$4, 'INPUTS│Performance Commitments'!$K$3:$L$3, 0 ) ), "-" )</f>
        <v>-</v>
      </c>
    </row>
    <row r="38" spans="3:25" outlineLevel="1" x14ac:dyDescent="0.25">
      <c r="C38" s="83" t="s">
        <v>91</v>
      </c>
      <c r="D38" s="92">
        <f xml:space="preserve"> SUM( D51, D52 )</f>
        <v>1</v>
      </c>
      <c r="E38" s="83"/>
      <c r="F38" s="86">
        <f xml:space="preserve"> IF( SUM( $D$51:$D$52 ) = 1, INDEX( $F$51:$F$52, MATCH( 1, $D$51:$D$52, 0 ) ), $F$51 )</f>
        <v>151.33000000000001</v>
      </c>
      <c r="G38" s="86" t="str">
        <f xml:space="preserve"> IF( SUM( $D$51:$D$52 ) = 1, "-", $F$52 )</f>
        <v>-</v>
      </c>
      <c r="H38" s="86" t="str">
        <f xml:space="preserve"> IF( SUM( $D$51:$D$52 ) = 1, INDEX( $H$51:$H$52, MATCH( 1, $D$51:$D$52, 0 ) ), $H$51 )</f>
        <v>-</v>
      </c>
      <c r="I38" s="86" t="str">
        <f xml:space="preserve"> IF( SUM( $D$51:$D$52 ) = 1, "-", $H$52 )</f>
        <v>-</v>
      </c>
      <c r="J38" s="77" t="str">
        <f t="shared" si="10"/>
        <v>-</v>
      </c>
      <c r="K38" s="77" t="str">
        <f t="shared" si="11"/>
        <v>-</v>
      </c>
      <c r="L38" s="238" t="str">
        <f t="shared" si="8"/>
        <v>-</v>
      </c>
      <c r="M38" s="83"/>
      <c r="N38" s="86">
        <f xml:space="preserve"> IF( SUM( $D$51:$D$52 ) = 1, INDEX( $N$51:$N$52, MATCH( 1, $D$51:$D$52, 0 ) ), $N$51 )</f>
        <v>153.63</v>
      </c>
      <c r="O38" s="86" t="str">
        <f xml:space="preserve"> IF( SUM( $D$51:$D$52 ) = 1, "-", $N$52 )</f>
        <v>-</v>
      </c>
      <c r="P38" s="86">
        <f xml:space="preserve"> IF( SUM( $D$51:$D$52 ) = 1, INDEX( $P$51:$P$52, MATCH( 1, $D$51:$D$52, 0 ) ), $P$51 )</f>
        <v>140</v>
      </c>
      <c r="Q38" s="86" t="str">
        <f xml:space="preserve"> IF( SUM( $D$51:$D$52 ) = 1, "-", $P$52 )</f>
        <v>-</v>
      </c>
      <c r="R38" s="77" t="str">
        <f t="shared" si="12"/>
        <v>Failed</v>
      </c>
      <c r="S38" s="77" t="str">
        <f t="shared" si="13"/>
        <v>-</v>
      </c>
      <c r="T38" s="238">
        <f t="shared" si="9"/>
        <v>0</v>
      </c>
      <c r="U38" s="83"/>
      <c r="V38" s="86">
        <f xml:space="preserve"> IF( SUM( $D$51:$D$52 ) = 1, INDEX( $V$51:$V$52, MATCH( 1, $D$51:$D$52, 0 ) ), $V$51 )</f>
        <v>153.63</v>
      </c>
      <c r="W38" s="86" t="str">
        <f xml:space="preserve"> IF( SUM( $D$51:$D$52 ) = 1, "-", $V$52 )</f>
        <v>-</v>
      </c>
      <c r="X38" s="86">
        <f xml:space="preserve"> IF( SUM( $D$51:$D$52 ) = 1, INDEX( $X$51:$X$52, MATCH( 1, $D$51:$D$52, 0 ) ), $X$51 )</f>
        <v>140</v>
      </c>
      <c r="Y38" s="86" t="str">
        <f xml:space="preserve"> IF( SUM( $D$51:$D$52 ) = 1, "-", $X$52 )</f>
        <v>-</v>
      </c>
    </row>
    <row r="39" spans="3:25" outlineLevel="1" x14ac:dyDescent="0.25">
      <c r="C39" s="83" t="s">
        <v>94</v>
      </c>
      <c r="D39" s="171">
        <f xml:space="preserve"> COUNTIF( 'INPUTS│Performance Commitments'!$C$61:$C$73, C39 )</f>
        <v>1</v>
      </c>
      <c r="E39" s="83"/>
      <c r="F39" s="100">
        <f xml:space="preserve"> _xlfn.IFNA( VLOOKUP( $C39, 'INPUTS│Performance Commitments'!$C$77:$I$89, MATCH( F$4, 'INPUTS│Performance Commitments'!$G$3:$I$3, 0 ) + 4, 0 ), "-" )</f>
        <v>129.9</v>
      </c>
      <c r="G39" s="100" t="str">
        <f ca="1" xml:space="preserve"> IF( $D39 &gt; 1, OFFSET( 'INPUTS│Performance Commitments'!$F$77, MATCH( $C39, 'INPUTS│Performance Commitments'!$C$77:$C$89, 0 ), MATCH( $F$4, 'INPUTS│Performance Commitments'!$G$3:$I$3, 0 ) ), "-" )</f>
        <v>-</v>
      </c>
      <c r="H39" s="100" t="str">
        <f xml:space="preserve"> _xlfn.IFNA( VLOOKUP( $C39, 'INPUTS│Performance Commitments'!$C$61:$I$73, MATCH( H$4, 'INPUTS│Performance Commitments'!$G$3:$I$3, 0 ) + 4, 0 ), "-" )</f>
        <v>-</v>
      </c>
      <c r="I39" s="100" t="str">
        <f ca="1" xml:space="preserve"> IF( $D39 &gt; 1, OFFSET( 'INPUTS│Performance Commitments'!$F$61, MATCH( $C39, 'INPUTS│Performance Commitments'!$C$61:$C$73, 0 ), MATCH( $H$4, 'INPUTS│Performance Commitments'!$G$3:$I$3, 0 ) ), "-" )</f>
        <v>-</v>
      </c>
      <c r="J39" s="77" t="str">
        <f t="shared" si="10"/>
        <v>-</v>
      </c>
      <c r="K39" s="77" t="str">
        <f t="shared" ca="1" si="11"/>
        <v>-</v>
      </c>
      <c r="L39" s="238" t="str">
        <f t="shared" si="8"/>
        <v>-</v>
      </c>
      <c r="M39" s="83"/>
      <c r="N39" s="100">
        <f xml:space="preserve"> _xlfn.IFNA( VLOOKUP( $C39, 'INPUTS│Performance Commitments'!$C$77:$I$89, MATCH( N$4, 'INPUTS│Performance Commitments'!$G$3:$I$3, 0 ) + 4, 0 ), "-" )</f>
        <v>129.30000000000001</v>
      </c>
      <c r="O39" s="100" t="str">
        <f ca="1" xml:space="preserve"> IF( $D39 &gt; 1, OFFSET( 'INPUTS│Performance Commitments'!$F$77, MATCH( $C39, 'INPUTS│Performance Commitments'!$C$77:$C$89, 0 ), MATCH( $N$4, 'INPUTS│Performance Commitments'!$G$3:$I$3, 0 ) ), "-" )</f>
        <v>-</v>
      </c>
      <c r="P39" s="100">
        <f xml:space="preserve"> _xlfn.IFNA( VLOOKUP( $C39, 'INPUTS│Performance Commitments'!$C$61:$I$73, MATCH( P$4, 'INPUTS│Performance Commitments'!$G$3:$I$3, 0 ) + 4, 0 ), "-" )</f>
        <v>133.69999999999999</v>
      </c>
      <c r="Q39" s="100" t="str">
        <f ca="1" xml:space="preserve"> IF( $D39 &gt; 1, OFFSET( 'INPUTS│Performance Commitments'!$F$61, MATCH( $C39, 'INPUTS│Performance Commitments'!$C$61:$C$73, 0 ), MATCH( $P$4, 'INPUTS│Performance Commitments'!$G$3:$I$3, 0 ) ), "-" )</f>
        <v>-</v>
      </c>
      <c r="R39" s="77" t="str">
        <f t="shared" si="12"/>
        <v>Met</v>
      </c>
      <c r="S39" s="77" t="str">
        <f t="shared" ca="1" si="13"/>
        <v>-</v>
      </c>
      <c r="T39" s="238">
        <f t="shared" ca="1" si="9"/>
        <v>1</v>
      </c>
      <c r="U39" s="83"/>
      <c r="V39" s="229">
        <f xml:space="preserve"> _xlfn.IFNA( VLOOKUP( $C39, 'INPUTS│Performance Commitments'!$C$77:$L$89, MATCH( V$4, 'INPUTS│Performance Commitments'!$K$3:$L$3, 0 ) + 8, 0 ), "-" )</f>
        <v>129.30000000000001</v>
      </c>
      <c r="W39" s="229" t="str">
        <f ca="1" xml:space="preserve"> IF( $D39 &gt; 1, OFFSET( 'INPUTS│Performance Commitments'!$J$77, MATCH( $C39, 'INPUTS│Performance Commitments'!$C$77:$C$89, 0 ), MATCH( $V$4, 'INPUTS│Performance Commitments'!$K$3:$L$3, 0 ) ), "-" )</f>
        <v>-</v>
      </c>
      <c r="X39" s="229">
        <f xml:space="preserve"> _xlfn.IFNA( VLOOKUP( $C39, 'INPUTS│Performance Commitments'!$C$61:$L$73, MATCH( X$4, 'INPUTS│Performance Commitments'!$K$3:$L$3, 0 ) + 8, 0 ), "-" )</f>
        <v>133.69999999999999</v>
      </c>
      <c r="Y39" s="229" t="str">
        <f ca="1" xml:space="preserve"> IF( $D39 &gt; 1, OFFSET( 'INPUTS│Performance Commitments'!$J$61, MATCH( $C39, 'INPUTS│Performance Commitments'!$C$61:$C$73, 0 ), MATCH( $X$4, 'INPUTS│Performance Commitments'!$K$3:$L$3, 0 ) ), "-" )</f>
        <v>-</v>
      </c>
    </row>
    <row r="40" spans="3:25" outlineLevel="1" x14ac:dyDescent="0.25">
      <c r="C40" s="83" t="s">
        <v>96</v>
      </c>
      <c r="D40" s="171">
        <f xml:space="preserve"> COUNTIF( 'INPUTS│Performance Commitments'!$C$61:$C$73, C40 )</f>
        <v>0</v>
      </c>
      <c r="E40" s="83"/>
      <c r="F40" s="100" t="str">
        <f xml:space="preserve"> _xlfn.IFNA( VLOOKUP( $C40, 'INPUTS│Performance Commitments'!$C$77:$I$89, MATCH( F$4, 'INPUTS│Performance Commitments'!$G$3:$I$3, 0 ) + 4, 0 ), "-" )</f>
        <v>-</v>
      </c>
      <c r="G40" s="100" t="str">
        <f ca="1" xml:space="preserve"> IF( $D40 &gt; 1, OFFSET( 'INPUTS│Performance Commitments'!$F$77, MATCH( $C40, 'INPUTS│Performance Commitments'!$C$77:$C$89, 0 ), MATCH( $F$4, 'INPUTS│Performance Commitments'!$G$3:$I$3, 0 ) ), "-" )</f>
        <v>-</v>
      </c>
      <c r="H40" s="100" t="str">
        <f xml:space="preserve"> _xlfn.IFNA( VLOOKUP( $C40, 'INPUTS│Performance Commitments'!$C$61:$I$73, MATCH( H$4, 'INPUTS│Performance Commitments'!$G$3:$I$3, 0 ) + 4, 0 ), "-" )</f>
        <v>-</v>
      </c>
      <c r="I40" s="100" t="str">
        <f ca="1" xml:space="preserve"> IF( $D40 &gt; 1, OFFSET( 'INPUTS│Performance Commitments'!$F$61, MATCH( $C40, 'INPUTS│Performance Commitments'!$C$61:$C$73, 0 ), MATCH( $H$4, 'INPUTS│Performance Commitments'!$G$3:$I$3, 0 ) ), "-" )</f>
        <v>-</v>
      </c>
      <c r="J40" s="77" t="str">
        <f xml:space="preserve"> IF( H40 &lt;&gt; "-", IF( F40 &gt;= H40, "Met", "Failed" ), "-" )</f>
        <v>-</v>
      </c>
      <c r="K40" s="77" t="str">
        <f ca="1" xml:space="preserve"> IF( I40 &lt;&gt; "-", IF( G40 &gt;= I40, "Met", "Failed" ), "-" )</f>
        <v>-</v>
      </c>
      <c r="L40" s="238" t="str">
        <f t="shared" si="8"/>
        <v>-</v>
      </c>
      <c r="M40" s="83"/>
      <c r="N40" s="100" t="str">
        <f xml:space="preserve"> _xlfn.IFNA( VLOOKUP( $C40, 'INPUTS│Performance Commitments'!$C$77:$I$89, MATCH( N$4, 'INPUTS│Performance Commitments'!$G$3:$I$3, 0 ) + 4, 0 ), "-" )</f>
        <v>-</v>
      </c>
      <c r="O40" s="100" t="str">
        <f ca="1" xml:space="preserve"> IF( $D40 &gt; 1, OFFSET( 'INPUTS│Performance Commitments'!$F$77, MATCH( $C40, 'INPUTS│Performance Commitments'!$C$77:$C$89, 0 ), MATCH( $N$4, 'INPUTS│Performance Commitments'!$G$3:$I$3, 0 ) ), "-" )</f>
        <v>-</v>
      </c>
      <c r="P40" s="100" t="str">
        <f xml:space="preserve"> _xlfn.IFNA( VLOOKUP( $C40, 'INPUTS│Performance Commitments'!$C$61:$I$73, MATCH( P$4, 'INPUTS│Performance Commitments'!$G$3:$I$3, 0 ) + 4, 0 ), "-" )</f>
        <v>-</v>
      </c>
      <c r="Q40" s="100" t="str">
        <f ca="1" xml:space="preserve"> IF( $D40 &gt; 1, OFFSET( 'INPUTS│Performance Commitments'!$F$61, MATCH( $C40, 'INPUTS│Performance Commitments'!$C$61:$C$73, 0 ), MATCH( $P$4, 'INPUTS│Performance Commitments'!$G$3:$I$3, 0 ) ), "-" )</f>
        <v>-</v>
      </c>
      <c r="R40" s="77" t="str">
        <f xml:space="preserve"> IF( P40 &lt;&gt; "-", IF( N40 &gt;= P40, "Met", "Failed" ), "-" )</f>
        <v>-</v>
      </c>
      <c r="S40" s="77" t="str">
        <f ca="1" xml:space="preserve"> IF( Q40 &lt;&gt; "-", IF( O40 &gt;= Q40, "Met", "Failed" ), "-" )</f>
        <v>-</v>
      </c>
      <c r="T40" s="238" t="str">
        <f t="shared" si="9"/>
        <v>-</v>
      </c>
      <c r="U40" s="83"/>
      <c r="V40" s="229" t="str">
        <f xml:space="preserve"> _xlfn.IFNA( VLOOKUP( $C40, 'INPUTS│Performance Commitments'!$C$77:$L$89, MATCH( V$4, 'INPUTS│Performance Commitments'!$K$3:$L$3, 0 ) + 8, 0 ), "-" )</f>
        <v>-</v>
      </c>
      <c r="W40" s="229" t="str">
        <f ca="1" xml:space="preserve"> IF( $D40 &gt; 1, OFFSET( 'INPUTS│Performance Commitments'!$J$77, MATCH( $C40, 'INPUTS│Performance Commitments'!$C$77:$C$89, 0 ), MATCH( $V$4, 'INPUTS│Performance Commitments'!$K$3:$L$3, 0 ) ), "-" )</f>
        <v>-</v>
      </c>
      <c r="X40" s="229" t="str">
        <f xml:space="preserve"> _xlfn.IFNA( VLOOKUP( $C40, 'INPUTS│Performance Commitments'!$C$61:$L$73, MATCH( X$4, 'INPUTS│Performance Commitments'!$K$3:$L$3, 0 ) + 8, 0 ), "-" )</f>
        <v>-</v>
      </c>
      <c r="Y40" s="229" t="str">
        <f ca="1" xml:space="preserve"> IF( $D40 &gt; 1, OFFSET( 'INPUTS│Performance Commitments'!$J$61, MATCH( $C40, 'INPUTS│Performance Commitments'!$C$61:$C$73, 0 ), MATCH( $X$4, 'INPUTS│Performance Commitments'!$K$3:$L$3, 0 ) ), "-" )</f>
        <v>-</v>
      </c>
    </row>
    <row r="41" spans="3:25" outlineLevel="1" x14ac:dyDescent="0.25">
      <c r="C41" s="83" t="s">
        <v>98</v>
      </c>
      <c r="D41" s="171">
        <f xml:space="preserve"> COUNTIF( 'INPUTS│Performance Commitments'!$C$61:$C$73, C41 )</f>
        <v>1</v>
      </c>
      <c r="E41" s="83"/>
      <c r="F41" s="100">
        <f xml:space="preserve"> _xlfn.IFNA( VLOOKUP( $C41, 'INPUTS│Performance Commitments'!$C$77:$I$89, MATCH( F$4, 'INPUTS│Performance Commitments'!$G$3:$I$3, 0 ) + 4, 0 ), "-" )</f>
        <v>314.0734882776373</v>
      </c>
      <c r="G41" s="100" t="str">
        <f ca="1" xml:space="preserve"> IF( $D41 &gt; 1, OFFSET( 'INPUTS│Performance Commitments'!$F$77, MATCH( $C41, 'INPUTS│Performance Commitments'!$C$77:$C$89, 0 ), MATCH( $F$4, 'INPUTS│Performance Commitments'!$G$3:$I$3, 0 ) ), "-" )</f>
        <v>-</v>
      </c>
      <c r="H41" s="100">
        <f xml:space="preserve"> _xlfn.IFNA( VLOOKUP( $C41, 'INPUTS│Performance Commitments'!$C$61:$I$73, MATCH( H$4, 'INPUTS│Performance Commitments'!$G$3:$I$3, 0 ) + 4, 0 ), "-" )</f>
        <v>286</v>
      </c>
      <c r="I41" s="100" t="str">
        <f ca="1" xml:space="preserve"> IF( $D41 &gt; 1, OFFSET( 'INPUTS│Performance Commitments'!$F$61, MATCH( $C41, 'INPUTS│Performance Commitments'!$C$61:$C$73, 0 ), MATCH( $H$4, 'INPUTS│Performance Commitments'!$G$3:$I$3, 0 ) ), "-" )</f>
        <v>-</v>
      </c>
      <c r="J41" s="77" t="str">
        <f t="shared" si="10"/>
        <v>Failed</v>
      </c>
      <c r="K41" s="77" t="str">
        <f t="shared" ca="1" si="11"/>
        <v>-</v>
      </c>
      <c r="L41" s="238">
        <f t="shared" ca="1" si="8"/>
        <v>0</v>
      </c>
      <c r="M41" s="83"/>
      <c r="N41" s="100">
        <f xml:space="preserve"> _xlfn.IFNA( VLOOKUP( $C41, 'INPUTS│Performance Commitments'!$C$77:$I$89, MATCH( N$4, 'INPUTS│Performance Commitments'!$G$3:$I$3, 0 ) + 4, 0 ), "-" )</f>
        <v>308</v>
      </c>
      <c r="O41" s="100" t="str">
        <f ca="1" xml:space="preserve"> IF( $D41 &gt; 1, OFFSET( 'INPUTS│Performance Commitments'!$F$77, MATCH( $C41, 'INPUTS│Performance Commitments'!$C$77:$C$89, 0 ), MATCH( $N$4, 'INPUTS│Performance Commitments'!$G$3:$I$3, 0 ) ), "-" )</f>
        <v>-</v>
      </c>
      <c r="P41" s="100">
        <f xml:space="preserve"> _xlfn.IFNA( VLOOKUP( $C41, 'INPUTS│Performance Commitments'!$C$61:$I$73, MATCH( P$4, 'INPUTS│Performance Commitments'!$G$3:$I$3, 0 ) + 4, 0 ), "-" )</f>
        <v>284</v>
      </c>
      <c r="Q41" s="100" t="str">
        <f ca="1" xml:space="preserve"> IF( $D41 &gt; 1, OFFSET( 'INPUTS│Performance Commitments'!$F$61, MATCH( $C41, 'INPUTS│Performance Commitments'!$C$61:$C$73, 0 ), MATCH( $P$4, 'INPUTS│Performance Commitments'!$G$3:$I$3, 0 ) ), "-" )</f>
        <v>-</v>
      </c>
      <c r="R41" s="77" t="str">
        <f t="shared" ref="R41:R49" si="14" xml:space="preserve"> IF( P41 &lt;&gt; "-", IF( N41 &lt;= P41, "Met", "Failed" ), "-" )</f>
        <v>Failed</v>
      </c>
      <c r="S41" s="77" t="str">
        <f ca="1" xml:space="preserve"> IF( Q41 &lt;&gt; "-", IF( O41 &lt;= Q41, "Met", "Failed" ), "-" )</f>
        <v>-</v>
      </c>
      <c r="T41" s="238">
        <f t="shared" ca="1" si="9"/>
        <v>0</v>
      </c>
      <c r="U41" s="83"/>
      <c r="V41" s="229">
        <f xml:space="preserve"> _xlfn.IFNA( VLOOKUP( $C41, 'INPUTS│Performance Commitments'!$C$77:$L$89, MATCH( V$4, 'INPUTS│Performance Commitments'!$K$3:$L$3, 0 ) + 8, 0 ), "-" )</f>
        <v>141.19999999999999</v>
      </c>
      <c r="W41" s="229" t="str">
        <f ca="1" xml:space="preserve"> IF( $D41 &gt; 1, OFFSET( 'INPUTS│Performance Commitments'!$J$77, MATCH( $C41, 'INPUTS│Performance Commitments'!$C$77:$C$89, 0 ), MATCH( $V$4, 'INPUTS│Performance Commitments'!$K$3:$L$3, 0 ) ), "-" )</f>
        <v>-</v>
      </c>
      <c r="X41" s="229">
        <f xml:space="preserve"> _xlfn.IFNA( VLOOKUP( $C41, 'INPUTS│Performance Commitments'!$C$61:$L$73, MATCH( X$4, 'INPUTS│Performance Commitments'!$K$3:$L$3, 0 ) + 8, 0 ), "-" )</f>
        <v>130.1974025974026</v>
      </c>
      <c r="Y41" s="229" t="str">
        <f ca="1" xml:space="preserve"> IF( $D41 &gt; 1, OFFSET( 'INPUTS│Performance Commitments'!$J$61, MATCH( $C41, 'INPUTS│Performance Commitments'!$C$61:$C$73, 0 ), MATCH( $X$4, 'INPUTS│Performance Commitments'!$K$3:$L$3, 0 ) ), "-" )</f>
        <v>-</v>
      </c>
    </row>
    <row r="42" spans="3:25" outlineLevel="1" x14ac:dyDescent="0.25">
      <c r="C42" s="83" t="s">
        <v>100</v>
      </c>
      <c r="D42" s="171">
        <f xml:space="preserve"> COUNTIF( 'INPUTS│Performance Commitments'!$C$61:$C$73, C42 )</f>
        <v>1</v>
      </c>
      <c r="E42" s="83"/>
      <c r="F42" s="100">
        <f xml:space="preserve"> _xlfn.IFNA( VLOOKUP( $C42, 'INPUTS│Performance Commitments'!$C$77:$I$89, MATCH( F$4, 'INPUTS│Performance Commitments'!$G$3:$I$3, 0 ) + 4, 0 ), "-" )</f>
        <v>147</v>
      </c>
      <c r="G42" s="100" t="str">
        <f ca="1" xml:space="preserve"> IF( $D42 &gt; 1, OFFSET( 'INPUTS│Performance Commitments'!$F$77, MATCH( $C42, 'INPUTS│Performance Commitments'!$C$77:$C$89, 0 ), MATCH( $F$4, 'INPUTS│Performance Commitments'!$G$3:$I$3, 0 ) ), "-" )</f>
        <v>-</v>
      </c>
      <c r="H42" s="100">
        <f xml:space="preserve"> _xlfn.IFNA( VLOOKUP( $C42, 'INPUTS│Performance Commitments'!$C$61:$I$73, MATCH( H$4, 'INPUTS│Performance Commitments'!$G$3:$I$3, 0 ) + 4, 0 ), "-" )</f>
        <v>132</v>
      </c>
      <c r="I42" s="100" t="str">
        <f ca="1" xml:space="preserve"> IF( $D42 &gt; 1, OFFSET( 'INPUTS│Performance Commitments'!$F$61, MATCH( $C42, 'INPUTS│Performance Commitments'!$C$61:$C$73, 0 ), MATCH( $H$4, 'INPUTS│Performance Commitments'!$G$3:$I$3, 0 ) ), "-" )</f>
        <v>-</v>
      </c>
      <c r="J42" s="77" t="str">
        <f t="shared" si="10"/>
        <v>Failed</v>
      </c>
      <c r="K42" s="77" t="str">
        <f ca="1" xml:space="preserve"> IF( I42 &lt;&gt; "-", IF( G42 &gt;= I42, "Met", "Failed" ), "-" )</f>
        <v>-</v>
      </c>
      <c r="L42" s="238">
        <f t="shared" ca="1" si="8"/>
        <v>0</v>
      </c>
      <c r="M42" s="83"/>
      <c r="N42" s="100">
        <f xml:space="preserve"> _xlfn.IFNA( VLOOKUP( $C42, 'INPUTS│Performance Commitments'!$C$77:$I$89, MATCH( N$4, 'INPUTS│Performance Commitments'!$G$3:$I$3, 0 ) + 4, 0 ), "-" )</f>
        <v>145</v>
      </c>
      <c r="O42" s="100" t="str">
        <f ca="1" xml:space="preserve"> IF( $D42 &gt; 1, OFFSET( 'INPUTS│Performance Commitments'!$F$77, MATCH( $C42, 'INPUTS│Performance Commitments'!$C$77:$C$89, 0 ), MATCH( $N$4, 'INPUTS│Performance Commitments'!$G$3:$I$3, 0 ) ), "-" )</f>
        <v>-</v>
      </c>
      <c r="P42" s="100">
        <f xml:space="preserve"> _xlfn.IFNA( VLOOKUP( $C42, 'INPUTS│Performance Commitments'!$C$61:$I$73, MATCH( P$4, 'INPUTS│Performance Commitments'!$G$3:$I$3, 0 ) + 4, 0 ), "-" )</f>
        <v>131</v>
      </c>
      <c r="Q42" s="100" t="str">
        <f ca="1" xml:space="preserve"> IF( $D42 &gt; 1, OFFSET( 'INPUTS│Performance Commitments'!$F$61, MATCH( $C42, 'INPUTS│Performance Commitments'!$C$61:$C$73, 0 ), MATCH( $P$4, 'INPUTS│Performance Commitments'!$G$3:$I$3, 0 ) ), "-" )</f>
        <v>-</v>
      </c>
      <c r="R42" s="77" t="str">
        <f t="shared" si="14"/>
        <v>Failed</v>
      </c>
      <c r="S42" s="77" t="str">
        <f ca="1" xml:space="preserve"> IF( Q42 &lt;&gt; "-", IF( O42 &gt;= Q42, "Met", "Failed" ), "-" )</f>
        <v>-</v>
      </c>
      <c r="T42" s="238">
        <f t="shared" ca="1" si="9"/>
        <v>0</v>
      </c>
      <c r="U42" s="83"/>
      <c r="V42" s="229">
        <f xml:space="preserve"> _xlfn.IFNA( VLOOKUP( $C42, 'INPUTS│Performance Commitments'!$C$77:$L$89, MATCH( V$4, 'INPUTS│Performance Commitments'!$K$3:$L$3, 0 ) + 8, 0 ), "-" )</f>
        <v>145</v>
      </c>
      <c r="W42" s="229" t="str">
        <f ca="1" xml:space="preserve"> IF( $D42 &gt; 1, OFFSET( 'INPUTS│Performance Commitments'!$J$77, MATCH( $C42, 'INPUTS│Performance Commitments'!$C$77:$C$89, 0 ), MATCH( $V$4, 'INPUTS│Performance Commitments'!$K$3:$L$3, 0 ) ), "-" )</f>
        <v>-</v>
      </c>
      <c r="X42" s="229">
        <f xml:space="preserve"> _xlfn.IFNA( VLOOKUP( $C42, 'INPUTS│Performance Commitments'!$C$61:$L$73, MATCH( X$4, 'INPUTS│Performance Commitments'!$K$3:$L$3, 0 ) + 8, 0 ), "-" )</f>
        <v>131</v>
      </c>
      <c r="Y42" s="229" t="str">
        <f ca="1" xml:space="preserve"> IF( $D42 &gt; 1, OFFSET( 'INPUTS│Performance Commitments'!$J$61, MATCH( $C42, 'INPUTS│Performance Commitments'!$C$61:$C$73, 0 ), MATCH( $X$4, 'INPUTS│Performance Commitments'!$K$3:$L$3, 0 ) ), "-" )</f>
        <v>-</v>
      </c>
    </row>
    <row r="43" spans="3:25" outlineLevel="1" x14ac:dyDescent="0.25">
      <c r="C43" s="83" t="s">
        <v>102</v>
      </c>
      <c r="D43" s="171">
        <f xml:space="preserve"> COUNTIF( 'INPUTS│Performance Commitments'!$C$61:$C$73, C43 )</f>
        <v>1</v>
      </c>
      <c r="E43" s="83"/>
      <c r="F43" s="100">
        <f xml:space="preserve"> _xlfn.IFNA( VLOOKUP( $C43, 'INPUTS│Performance Commitments'!$C$77:$I$89, MATCH( F$4, 'INPUTS│Performance Commitments'!$G$3:$I$3, 0 ) + 4, 0 ), "-" )</f>
        <v>133.69999999999999</v>
      </c>
      <c r="G43" s="100" t="str">
        <f ca="1" xml:space="preserve"> IF( $D43 &gt; 1, OFFSET( 'INPUTS│Performance Commitments'!$F$77, MATCH( $C43, 'INPUTS│Performance Commitments'!$C$77:$C$89, 0 ), MATCH( $F$4, 'INPUTS│Performance Commitments'!$G$3:$I$3, 0 ) ), "-" )</f>
        <v>-</v>
      </c>
      <c r="H43" s="100">
        <f xml:space="preserve"> _xlfn.IFNA( VLOOKUP( $C43, 'INPUTS│Performance Commitments'!$C$61:$I$73, MATCH( H$4, 'INPUTS│Performance Commitments'!$G$3:$I$3, 0 ) + 4, 0 ), "-" )</f>
        <v>139.30000000000001</v>
      </c>
      <c r="I43" s="100" t="str">
        <f ca="1" xml:space="preserve"> IF( $D43 &gt; 1, OFFSET( 'INPUTS│Performance Commitments'!$F$61, MATCH( $C43, 'INPUTS│Performance Commitments'!$C$61:$C$73, 0 ), MATCH( $H$4, 'INPUTS│Performance Commitments'!$G$3:$I$3, 0 ) ), "-" )</f>
        <v>-</v>
      </c>
      <c r="J43" s="77" t="str">
        <f t="shared" si="10"/>
        <v>Met</v>
      </c>
      <c r="K43" s="77" t="str">
        <f t="shared" ca="1" si="11"/>
        <v>-</v>
      </c>
      <c r="L43" s="238">
        <f t="shared" ca="1" si="8"/>
        <v>1</v>
      </c>
      <c r="M43" s="83"/>
      <c r="N43" s="100">
        <f xml:space="preserve"> _xlfn.IFNA( VLOOKUP( $C43, 'INPUTS│Performance Commitments'!$C$77:$I$89, MATCH( N$4, 'INPUTS│Performance Commitments'!$G$3:$I$3, 0 ) + 4, 0 ), "-" )</f>
        <v>135</v>
      </c>
      <c r="O43" s="100" t="str">
        <f ca="1" xml:space="preserve"> IF( $D43 &gt; 1, OFFSET( 'INPUTS│Performance Commitments'!$F$77, MATCH( $C43, 'INPUTS│Performance Commitments'!$C$77:$C$89, 0 ), MATCH( $N$4, 'INPUTS│Performance Commitments'!$G$3:$I$3, 0 ) ), "-" )</f>
        <v>-</v>
      </c>
      <c r="P43" s="100">
        <f xml:space="preserve"> _xlfn.IFNA( VLOOKUP( $C43, 'INPUTS│Performance Commitments'!$C$61:$I$73, MATCH( P$4, 'INPUTS│Performance Commitments'!$G$3:$I$3, 0 ) + 4, 0 ), "-" )</f>
        <v>138.30000000000001</v>
      </c>
      <c r="Q43" s="100" t="str">
        <f ca="1" xml:space="preserve"> IF( $D43 &gt; 1, OFFSET( 'INPUTS│Performance Commitments'!$F$61, MATCH( $C43, 'INPUTS│Performance Commitments'!$C$61:$C$73, 0 ), MATCH( $P$4, 'INPUTS│Performance Commitments'!$G$3:$I$3, 0 ) ), "-" )</f>
        <v>-</v>
      </c>
      <c r="R43" s="77" t="str">
        <f t="shared" si="14"/>
        <v>Met</v>
      </c>
      <c r="S43" s="77" t="str">
        <f t="shared" ref="S43:S49" ca="1" si="15" xml:space="preserve"> IF( Q43 &lt;&gt; "-", IF( O43 &lt;= Q43, "Met", "Failed" ), "-" )</f>
        <v>-</v>
      </c>
      <c r="T43" s="238">
        <f t="shared" ca="1" si="9"/>
        <v>1</v>
      </c>
      <c r="U43" s="83"/>
      <c r="V43" s="229">
        <f xml:space="preserve"> _xlfn.IFNA( VLOOKUP( $C43, 'INPUTS│Performance Commitments'!$C$77:$L$89, MATCH( V$4, 'INPUTS│Performance Commitments'!$K$3:$L$3, 0 ) + 8, 0 ), "-" )</f>
        <v>135</v>
      </c>
      <c r="W43" s="229" t="str">
        <f ca="1" xml:space="preserve"> IF( $D43 &gt; 1, OFFSET( 'INPUTS│Performance Commitments'!$J$77, MATCH( $C43, 'INPUTS│Performance Commitments'!$C$77:$C$89, 0 ), MATCH( $V$4, 'INPUTS│Performance Commitments'!$K$3:$L$3, 0 ) ), "-" )</f>
        <v>-</v>
      </c>
      <c r="X43" s="229">
        <f xml:space="preserve"> _xlfn.IFNA( VLOOKUP( $C43, 'INPUTS│Performance Commitments'!$C$61:$L$73, MATCH( X$4, 'INPUTS│Performance Commitments'!$K$3:$L$3, 0 ) + 8, 0 ), "-" )</f>
        <v>138.30000000000001</v>
      </c>
      <c r="Y43" s="229" t="str">
        <f ca="1" xml:space="preserve"> IF( $D43 &gt; 1, OFFSET( 'INPUTS│Performance Commitments'!$J$61, MATCH( $C43, 'INPUTS│Performance Commitments'!$C$61:$C$73, 0 ), MATCH( $X$4, 'INPUTS│Performance Commitments'!$K$3:$L$3, 0 ) ), "-" )</f>
        <v>-</v>
      </c>
    </row>
    <row r="44" spans="3:25" outlineLevel="1" x14ac:dyDescent="0.25">
      <c r="C44" s="83" t="s">
        <v>104</v>
      </c>
      <c r="D44" s="171">
        <f xml:space="preserve"> COUNTIF( 'INPUTS│Performance Commitments'!$C$61:$C$73, C44 )</f>
        <v>1</v>
      </c>
      <c r="E44" s="83"/>
      <c r="F44" s="100">
        <f xml:space="preserve"> _xlfn.IFNA( VLOOKUP( $C44, 'INPUTS│Performance Commitments'!$C$77:$I$89, MATCH( F$4, 'INPUTS│Performance Commitments'!$G$3:$I$3, 0 ) + 4, 0 ), "-" )</f>
        <v>149.19999999999999</v>
      </c>
      <c r="G44" s="100" t="str">
        <f ca="1" xml:space="preserve"> IF( $D44 &gt; 1, OFFSET( 'INPUTS│Performance Commitments'!$F$77, MATCH( $C44, 'INPUTS│Performance Commitments'!$C$77:$C$89, 0 ), MATCH( $F$4, 'INPUTS│Performance Commitments'!$G$3:$I$3, 0 ) ), "-" )</f>
        <v>-</v>
      </c>
      <c r="H44" s="100">
        <f xml:space="preserve"> _xlfn.IFNA( VLOOKUP( $C44, 'INPUTS│Performance Commitments'!$C$61:$I$73, MATCH( H$4, 'INPUTS│Performance Commitments'!$G$3:$I$3, 0 ) + 4, 0 ), "-" )</f>
        <v>150.30000000000001</v>
      </c>
      <c r="I44" s="100" t="str">
        <f ca="1" xml:space="preserve"> IF( $D44 &gt; 1, OFFSET( 'INPUTS│Performance Commitments'!$F$61, MATCH( $C44, 'INPUTS│Performance Commitments'!$C$61:$C$73, 0 ), MATCH( $H$4, 'INPUTS│Performance Commitments'!$G$3:$I$3, 0 ) ), "-" )</f>
        <v>-</v>
      </c>
      <c r="J44" s="77" t="str">
        <f t="shared" si="10"/>
        <v>Met</v>
      </c>
      <c r="K44" s="77" t="str">
        <f t="shared" ca="1" si="11"/>
        <v>-</v>
      </c>
      <c r="L44" s="238">
        <f t="shared" ca="1" si="8"/>
        <v>1</v>
      </c>
      <c r="M44" s="83"/>
      <c r="N44" s="100">
        <f xml:space="preserve"> _xlfn.IFNA( VLOOKUP( $C44, 'INPUTS│Performance Commitments'!$C$77:$I$89, MATCH( N$4, 'INPUTS│Performance Commitments'!$G$3:$I$3, 0 ) + 4, 0 ), "-" )</f>
        <v>153</v>
      </c>
      <c r="O44" s="100" t="str">
        <f ca="1" xml:space="preserve"> IF( $D44 &gt; 1, OFFSET( 'INPUTS│Performance Commitments'!$F$77, MATCH( $C44, 'INPUTS│Performance Commitments'!$C$77:$C$89, 0 ), MATCH( $N$4, 'INPUTS│Performance Commitments'!$G$3:$I$3, 0 ) ), "-" )</f>
        <v>-</v>
      </c>
      <c r="P44" s="100">
        <f xml:space="preserve"> _xlfn.IFNA( VLOOKUP( $C44, 'INPUTS│Performance Commitments'!$C$61:$I$73, MATCH( P$4, 'INPUTS│Performance Commitments'!$G$3:$I$3, 0 ) + 4, 0 ), "-" )</f>
        <v>147.4</v>
      </c>
      <c r="Q44" s="100" t="str">
        <f ca="1" xml:space="preserve"> IF( $D44 &gt; 1, OFFSET( 'INPUTS│Performance Commitments'!$F$61, MATCH( $C44, 'INPUTS│Performance Commitments'!$C$61:$C$73, 0 ), MATCH( $P$4, 'INPUTS│Performance Commitments'!$G$3:$I$3, 0 ) ), "-" )</f>
        <v>-</v>
      </c>
      <c r="R44" s="77" t="str">
        <f t="shared" si="14"/>
        <v>Failed</v>
      </c>
      <c r="S44" s="77" t="str">
        <f t="shared" ca="1" si="15"/>
        <v>-</v>
      </c>
      <c r="T44" s="238">
        <f t="shared" ca="1" si="9"/>
        <v>0</v>
      </c>
      <c r="U44" s="83"/>
      <c r="V44" s="229">
        <f xml:space="preserve"> _xlfn.IFNA( VLOOKUP( $C44, 'INPUTS│Performance Commitments'!$C$77:$L$89, MATCH( V$4, 'INPUTS│Performance Commitments'!$K$3:$L$3, 0 ) + 8, 0 ), "-" )</f>
        <v>153</v>
      </c>
      <c r="W44" s="229" t="str">
        <f ca="1" xml:space="preserve"> IF( $D44 &gt; 1, OFFSET( 'INPUTS│Performance Commitments'!$J$77, MATCH( $C44, 'INPUTS│Performance Commitments'!$C$77:$C$89, 0 ), MATCH( $V$4, 'INPUTS│Performance Commitments'!$K$3:$L$3, 0 ) ), "-" )</f>
        <v>-</v>
      </c>
      <c r="X44" s="229">
        <f xml:space="preserve"> _xlfn.IFNA( VLOOKUP( $C44, 'INPUTS│Performance Commitments'!$C$61:$L$73, MATCH( X$4, 'INPUTS│Performance Commitments'!$K$3:$L$3, 0 ) + 8, 0 ), "-" )</f>
        <v>147.4</v>
      </c>
      <c r="Y44" s="229" t="str">
        <f ca="1" xml:space="preserve"> IF( $D44 &gt; 1, OFFSET( 'INPUTS│Performance Commitments'!$J$61, MATCH( $C44, 'INPUTS│Performance Commitments'!$C$61:$C$73, 0 ), MATCH( $X$4, 'INPUTS│Performance Commitments'!$K$3:$L$3, 0 ) ), "-" )</f>
        <v>-</v>
      </c>
    </row>
    <row r="45" spans="3:25" outlineLevel="1" x14ac:dyDescent="0.25">
      <c r="C45" s="83" t="s">
        <v>106</v>
      </c>
      <c r="D45" s="171">
        <f xml:space="preserve"> COUNTIF( 'INPUTS│Performance Commitments'!$C$61:$C$73, C45 )</f>
        <v>1</v>
      </c>
      <c r="E45" s="83"/>
      <c r="F45" s="100">
        <f xml:space="preserve"> _xlfn.IFNA( VLOOKUP( $C45, 'INPUTS│Performance Commitments'!$C$77:$I$89, MATCH( F$4, 'INPUTS│Performance Commitments'!$G$3:$I$3, 0 ) + 4, 0 ), "-" )</f>
        <v>148.30000000000001</v>
      </c>
      <c r="G45" s="100" t="str">
        <f ca="1" xml:space="preserve"> IF( $D45 &gt; 1, OFFSET( 'INPUTS│Performance Commitments'!$F$77, MATCH( $C45, 'INPUTS│Performance Commitments'!$C$77:$C$89, 0 ), MATCH( $F$4, 'INPUTS│Performance Commitments'!$G$3:$I$3, 0 ) ), "-" )</f>
        <v>-</v>
      </c>
      <c r="H45" s="100">
        <f xml:space="preserve"> _xlfn.IFNA( VLOOKUP( $C45, 'INPUTS│Performance Commitments'!$C$61:$I$73, MATCH( H$4, 'INPUTS│Performance Commitments'!$G$3:$I$3, 0 ) + 4, 0 ), "-" )</f>
        <v>142.80000000000001</v>
      </c>
      <c r="I45" s="100" t="str">
        <f ca="1" xml:space="preserve"> IF( $D45 &gt; 1, OFFSET( 'INPUTS│Performance Commitments'!$F$61, MATCH( $C45, 'INPUTS│Performance Commitments'!$C$61:$C$73, 0 ), MATCH( $H$4, 'INPUTS│Performance Commitments'!$G$3:$I$3, 0 ) ), "-" )</f>
        <v>-</v>
      </c>
      <c r="J45" s="77" t="str">
        <f t="shared" si="10"/>
        <v>Failed</v>
      </c>
      <c r="K45" s="77" t="str">
        <f t="shared" ca="1" si="11"/>
        <v>-</v>
      </c>
      <c r="L45" s="238">
        <f t="shared" ca="1" si="8"/>
        <v>0</v>
      </c>
      <c r="M45" s="83"/>
      <c r="N45" s="100">
        <f xml:space="preserve"> _xlfn.IFNA( VLOOKUP( $C45, 'INPUTS│Performance Commitments'!$C$77:$I$89, MATCH( N$4, 'INPUTS│Performance Commitments'!$G$3:$I$3, 0 ) + 4, 0 ), "-" )</f>
        <v>144.6</v>
      </c>
      <c r="O45" s="100" t="str">
        <f ca="1" xml:space="preserve"> IF( $D45 &gt; 1, OFFSET( 'INPUTS│Performance Commitments'!$F$77, MATCH( $C45, 'INPUTS│Performance Commitments'!$C$77:$C$89, 0 ), MATCH( $N$4, 'INPUTS│Performance Commitments'!$G$3:$I$3, 0 ) ), "-" )</f>
        <v>-</v>
      </c>
      <c r="P45" s="100">
        <f xml:space="preserve"> _xlfn.IFNA( VLOOKUP( $C45, 'INPUTS│Performance Commitments'!$C$61:$I$73, MATCH( P$4, 'INPUTS│Performance Commitments'!$G$3:$I$3, 0 ) + 4, 0 ), "-" )</f>
        <v>142</v>
      </c>
      <c r="Q45" s="100" t="str">
        <f ca="1" xml:space="preserve"> IF( $D45 &gt; 1, OFFSET( 'INPUTS│Performance Commitments'!$F$61, MATCH( $C45, 'INPUTS│Performance Commitments'!$C$61:$C$73, 0 ), MATCH( $P$4, 'INPUTS│Performance Commitments'!$G$3:$I$3, 0 ) ), "-" )</f>
        <v>-</v>
      </c>
      <c r="R45" s="77" t="str">
        <f t="shared" si="14"/>
        <v>Failed</v>
      </c>
      <c r="S45" s="77" t="str">
        <f t="shared" ca="1" si="15"/>
        <v>-</v>
      </c>
      <c r="T45" s="238">
        <f t="shared" ca="1" si="9"/>
        <v>0</v>
      </c>
      <c r="U45" s="83"/>
      <c r="V45" s="229">
        <f xml:space="preserve"> _xlfn.IFNA( VLOOKUP( $C45, 'INPUTS│Performance Commitments'!$C$77:$L$89, MATCH( V$4, 'INPUTS│Performance Commitments'!$K$3:$L$3, 0 ) + 8, 0 ), "-" )</f>
        <v>144.6</v>
      </c>
      <c r="W45" s="229" t="str">
        <f ca="1" xml:space="preserve"> IF( $D45 &gt; 1, OFFSET( 'INPUTS│Performance Commitments'!$J$77, MATCH( $C45, 'INPUTS│Performance Commitments'!$C$77:$C$89, 0 ), MATCH( $V$4, 'INPUTS│Performance Commitments'!$K$3:$L$3, 0 ) ), "-" )</f>
        <v>-</v>
      </c>
      <c r="X45" s="229">
        <f xml:space="preserve"> _xlfn.IFNA( VLOOKUP( $C45, 'INPUTS│Performance Commitments'!$C$61:$L$73, MATCH( X$4, 'INPUTS│Performance Commitments'!$K$3:$L$3, 0 ) + 8, 0 ), "-" )</f>
        <v>142</v>
      </c>
      <c r="Y45" s="229" t="str">
        <f ca="1" xml:space="preserve"> IF( $D45 &gt; 1, OFFSET( 'INPUTS│Performance Commitments'!$J$61, MATCH( $C45, 'INPUTS│Performance Commitments'!$C$61:$C$73, 0 ), MATCH( $X$4, 'INPUTS│Performance Commitments'!$K$3:$L$3, 0 ) ), "-" )</f>
        <v>-</v>
      </c>
    </row>
    <row r="46" spans="3:25" outlineLevel="1" x14ac:dyDescent="0.25">
      <c r="C46" s="83" t="s">
        <v>108</v>
      </c>
      <c r="D46" s="171">
        <f xml:space="preserve"> COUNTIF( 'INPUTS│Performance Commitments'!$C$61:$C$73, C46 )</f>
        <v>1</v>
      </c>
      <c r="E46" s="83"/>
      <c r="F46" s="100">
        <f xml:space="preserve"> _xlfn.IFNA( VLOOKUP( $C46, 'INPUTS│Performance Commitments'!$C$77:$I$89, MATCH( F$4, 'INPUTS│Performance Commitments'!$G$3:$I$3, 0 ) + 4, 0 ), "-" )</f>
        <v>152.38999999999999</v>
      </c>
      <c r="G46" s="100" t="str">
        <f ca="1" xml:space="preserve"> IF( $D46 &gt; 1, OFFSET( 'INPUTS│Performance Commitments'!$F$77, MATCH( $C46, 'INPUTS│Performance Commitments'!$C$77:$C$89, 0 ), MATCH( $F$4, 'INPUTS│Performance Commitments'!$G$3:$I$3, 0 ) ), "-" )</f>
        <v>-</v>
      </c>
      <c r="H46" s="100">
        <f xml:space="preserve"> _xlfn.IFNA( VLOOKUP( $C46, 'INPUTS│Performance Commitments'!$C$61:$I$73, MATCH( H$4, 'INPUTS│Performance Commitments'!$G$3:$I$3, 0 ) + 4, 0 ), "-" )</f>
        <v>144.61000000000001</v>
      </c>
      <c r="I46" s="100" t="str">
        <f ca="1" xml:space="preserve"> IF( $D46 &gt; 1, OFFSET( 'INPUTS│Performance Commitments'!$F$61, MATCH( $C46, 'INPUTS│Performance Commitments'!$C$61:$C$73, 0 ), MATCH( $H$4, 'INPUTS│Performance Commitments'!$G$3:$I$3, 0 ) ), "-" )</f>
        <v>-</v>
      </c>
      <c r="J46" s="77" t="str">
        <f t="shared" si="10"/>
        <v>Failed</v>
      </c>
      <c r="K46" s="77" t="str">
        <f t="shared" ca="1" si="11"/>
        <v>-</v>
      </c>
      <c r="L46" s="238">
        <f t="shared" ca="1" si="8"/>
        <v>0</v>
      </c>
      <c r="M46" s="83"/>
      <c r="N46" s="100">
        <f xml:space="preserve"> _xlfn.IFNA( VLOOKUP( $C46, 'INPUTS│Performance Commitments'!$C$77:$I$89, MATCH( N$4, 'INPUTS│Performance Commitments'!$G$3:$I$3, 0 ) + 4, 0 ), "-" )</f>
        <v>153.6</v>
      </c>
      <c r="O46" s="100" t="str">
        <f ca="1" xml:space="preserve"> IF( $D46 &gt; 1, OFFSET( 'INPUTS│Performance Commitments'!$F$77, MATCH( $C46, 'INPUTS│Performance Commitments'!$C$77:$C$89, 0 ), MATCH( $N$4, 'INPUTS│Performance Commitments'!$G$3:$I$3, 0 ) ), "-" )</f>
        <v>-</v>
      </c>
      <c r="P46" s="100">
        <f xml:space="preserve"> _xlfn.IFNA( VLOOKUP( $C46, 'INPUTS│Performance Commitments'!$C$61:$I$73, MATCH( P$4, 'INPUTS│Performance Commitments'!$G$3:$I$3, 0 ) + 4, 0 ), "-" )</f>
        <v>143.93</v>
      </c>
      <c r="Q46" s="100" t="str">
        <f ca="1" xml:space="preserve"> IF( $D46 &gt; 1, OFFSET( 'INPUTS│Performance Commitments'!$F$61, MATCH( $C46, 'INPUTS│Performance Commitments'!$C$61:$C$73, 0 ), MATCH( $P$4, 'INPUTS│Performance Commitments'!$G$3:$I$3, 0 ) ), "-" )</f>
        <v>-</v>
      </c>
      <c r="R46" s="77" t="str">
        <f t="shared" si="14"/>
        <v>Failed</v>
      </c>
      <c r="S46" s="77" t="str">
        <f t="shared" ca="1" si="15"/>
        <v>-</v>
      </c>
      <c r="T46" s="238">
        <f t="shared" ca="1" si="9"/>
        <v>0</v>
      </c>
      <c r="U46" s="83"/>
      <c r="V46" s="229">
        <f xml:space="preserve"> _xlfn.IFNA( VLOOKUP( $C46, 'INPUTS│Performance Commitments'!$C$77:$L$89, MATCH( V$4, 'INPUTS│Performance Commitments'!$K$3:$L$3, 0 ) + 8, 0 ), "-" )</f>
        <v>153.6</v>
      </c>
      <c r="W46" s="229" t="str">
        <f ca="1" xml:space="preserve"> IF( $D46 &gt; 1, OFFSET( 'INPUTS│Performance Commitments'!$J$77, MATCH( $C46, 'INPUTS│Performance Commitments'!$C$77:$C$89, 0 ), MATCH( $V$4, 'INPUTS│Performance Commitments'!$K$3:$L$3, 0 ) ), "-" )</f>
        <v>-</v>
      </c>
      <c r="X46" s="229">
        <f xml:space="preserve"> _xlfn.IFNA( VLOOKUP( $C46, 'INPUTS│Performance Commitments'!$C$61:$L$73, MATCH( X$4, 'INPUTS│Performance Commitments'!$K$3:$L$3, 0 ) + 8, 0 ), "-" )</f>
        <v>143.93</v>
      </c>
      <c r="Y46" s="229" t="str">
        <f ca="1" xml:space="preserve"> IF( $D46 &gt; 1, OFFSET( 'INPUTS│Performance Commitments'!$J$61, MATCH( $C46, 'INPUTS│Performance Commitments'!$C$61:$C$73, 0 ), MATCH( $X$4, 'INPUTS│Performance Commitments'!$K$3:$L$3, 0 ) ), "-" )</f>
        <v>-</v>
      </c>
    </row>
    <row r="47" spans="3:25" outlineLevel="1" x14ac:dyDescent="0.25">
      <c r="C47" s="83" t="s">
        <v>112</v>
      </c>
      <c r="D47" s="171">
        <f xml:space="preserve"> COUNTIF( 'INPUTS│Performance Commitments'!$C$61:$C$73, C47 )</f>
        <v>0</v>
      </c>
      <c r="E47" s="83"/>
      <c r="F47" s="100" t="str">
        <f xml:space="preserve"> _xlfn.IFNA( VLOOKUP( $C47, 'INPUTS│Performance Commitments'!$C$77:$I$89, MATCH( F$4, 'INPUTS│Performance Commitments'!$G$3:$I$3, 0 ) + 4, 0 ), "-" )</f>
        <v>-</v>
      </c>
      <c r="G47" s="100" t="str">
        <f ca="1" xml:space="preserve"> IF( $D47 &gt; 1, OFFSET( 'INPUTS│Performance Commitments'!$F$77, MATCH( $C47, 'INPUTS│Performance Commitments'!$C$77:$C$89, 0 ), MATCH( $F$4, 'INPUTS│Performance Commitments'!$G$3:$I$3, 0 ) ), "-" )</f>
        <v>-</v>
      </c>
      <c r="H47" s="100" t="str">
        <f xml:space="preserve"> _xlfn.IFNA( VLOOKUP( $C47, 'INPUTS│Performance Commitments'!$C$61:$I$73, MATCH( H$4, 'INPUTS│Performance Commitments'!$G$3:$I$3, 0 ) + 4, 0 ), "-" )</f>
        <v>-</v>
      </c>
      <c r="I47" s="100" t="str">
        <f ca="1" xml:space="preserve"> IF( $D47 &gt; 1, OFFSET( 'INPUTS│Performance Commitments'!$F$61, MATCH( $C47, 'INPUTS│Performance Commitments'!$C$61:$C$73, 0 ), MATCH( $H$4, 'INPUTS│Performance Commitments'!$G$3:$I$3, 0 ) ), "-" )</f>
        <v>-</v>
      </c>
      <c r="J47" s="77" t="str">
        <f t="shared" si="10"/>
        <v>-</v>
      </c>
      <c r="K47" s="77" t="str">
        <f t="shared" ca="1" si="11"/>
        <v>-</v>
      </c>
      <c r="L47" s="238" t="str">
        <f t="shared" si="8"/>
        <v>-</v>
      </c>
      <c r="M47" s="83"/>
      <c r="N47" s="100" t="str">
        <f xml:space="preserve"> _xlfn.IFNA( VLOOKUP( $C47, 'INPUTS│Performance Commitments'!$C$77:$I$89, MATCH( N$4, 'INPUTS│Performance Commitments'!$G$3:$I$3, 0 ) + 4, 0 ), "-" )</f>
        <v>-</v>
      </c>
      <c r="O47" s="100" t="str">
        <f ca="1" xml:space="preserve"> IF( $D47 &gt; 1, OFFSET( 'INPUTS│Performance Commitments'!$F$77, MATCH( $C47, 'INPUTS│Performance Commitments'!$C$77:$C$89, 0 ), MATCH( $N$4, 'INPUTS│Performance Commitments'!$G$3:$I$3, 0 ) ), "-" )</f>
        <v>-</v>
      </c>
      <c r="P47" s="100" t="str">
        <f xml:space="preserve"> _xlfn.IFNA( VLOOKUP( $C47, 'INPUTS│Performance Commitments'!$C$61:$I$73, MATCH( P$4, 'INPUTS│Performance Commitments'!$G$3:$I$3, 0 ) + 4, 0 ), "-" )</f>
        <v>-</v>
      </c>
      <c r="Q47" s="100" t="str">
        <f ca="1" xml:space="preserve"> IF( $D47 &gt; 1, OFFSET( 'INPUTS│Performance Commitments'!$F$61, MATCH( $C47, 'INPUTS│Performance Commitments'!$C$61:$C$73, 0 ), MATCH( $P$4, 'INPUTS│Performance Commitments'!$G$3:$I$3, 0 ) ), "-" )</f>
        <v>-</v>
      </c>
      <c r="R47" s="77" t="str">
        <f t="shared" si="14"/>
        <v>-</v>
      </c>
      <c r="S47" s="77" t="str">
        <f t="shared" ca="1" si="15"/>
        <v>-</v>
      </c>
      <c r="T47" s="238" t="str">
        <f t="shared" si="9"/>
        <v>-</v>
      </c>
      <c r="U47" s="83"/>
      <c r="V47" s="229" t="str">
        <f xml:space="preserve"> _xlfn.IFNA( VLOOKUP( $C47, 'INPUTS│Performance Commitments'!$C$77:$L$89, MATCH( V$4, 'INPUTS│Performance Commitments'!$K$3:$L$3, 0 ) + 8, 0 ), "-" )</f>
        <v>-</v>
      </c>
      <c r="W47" s="229" t="str">
        <f ca="1" xml:space="preserve"> IF( $D47 &gt; 1, OFFSET( 'INPUTS│Performance Commitments'!$J$77, MATCH( $C47, 'INPUTS│Performance Commitments'!$C$77:$C$89, 0 ), MATCH( $V$4, 'INPUTS│Performance Commitments'!$K$3:$L$3, 0 ) ), "-" )</f>
        <v>-</v>
      </c>
      <c r="X47" s="229" t="str">
        <f xml:space="preserve"> _xlfn.IFNA( VLOOKUP( $C47, 'INPUTS│Performance Commitments'!$C$61:$L$73, MATCH( X$4, 'INPUTS│Performance Commitments'!$K$3:$L$3, 0 ) + 8, 0 ), "-" )</f>
        <v>-</v>
      </c>
      <c r="Y47" s="229" t="str">
        <f ca="1" xml:space="preserve"> IF( $D47 &gt; 1, OFFSET( 'INPUTS│Performance Commitments'!$J$61, MATCH( $C47, 'INPUTS│Performance Commitments'!$C$61:$C$73, 0 ), MATCH( $X$4, 'INPUTS│Performance Commitments'!$K$3:$L$3, 0 ) ), "-" )</f>
        <v>-</v>
      </c>
    </row>
    <row r="48" spans="3:25" outlineLevel="1" x14ac:dyDescent="0.25">
      <c r="C48" s="83" t="s">
        <v>114</v>
      </c>
      <c r="D48" s="171">
        <f xml:space="preserve"> COUNTIF( 'INPUTS│Performance Commitments'!$C$61:$C$73, C48 )</f>
        <v>1</v>
      </c>
      <c r="E48" s="83"/>
      <c r="F48" s="100">
        <f xml:space="preserve"> _xlfn.IFNA( VLOOKUP( $C48, 'INPUTS│Performance Commitments'!$C$77:$I$89, MATCH( F$4, 'INPUTS│Performance Commitments'!$G$3:$I$3, 0 ) + 4, 0 ), "-" )</f>
        <v>136.41</v>
      </c>
      <c r="G48" s="100" t="str">
        <f ca="1" xml:space="preserve"> IF( $D48 &gt; 1, OFFSET( 'INPUTS│Performance Commitments'!$F$77, MATCH( $C48, 'INPUTS│Performance Commitments'!$C$77:$C$89, 0 ), MATCH( $F$4, 'INPUTS│Performance Commitments'!$G$3:$I$3, 0 ) ), "-" )</f>
        <v>-</v>
      </c>
      <c r="H48" s="100">
        <f xml:space="preserve"> _xlfn.IFNA( VLOOKUP( $C48, 'INPUTS│Performance Commitments'!$C$61:$I$73, MATCH( H$4, 'INPUTS│Performance Commitments'!$G$3:$I$3, 0 ) + 4, 0 ), "-" )</f>
        <v>128.91</v>
      </c>
      <c r="I48" s="100" t="str">
        <f ca="1" xml:space="preserve"> IF( $D48 &gt; 1, OFFSET( 'INPUTS│Performance Commitments'!$F$61, MATCH( $C48, 'INPUTS│Performance Commitments'!$C$61:$C$73, 0 ), MATCH( $H$4, 'INPUTS│Performance Commitments'!$G$3:$I$3, 0 ) ), "-" )</f>
        <v>-</v>
      </c>
      <c r="J48" s="77" t="str">
        <f t="shared" si="10"/>
        <v>Failed</v>
      </c>
      <c r="K48" s="77" t="str">
        <f t="shared" ca="1" si="11"/>
        <v>-</v>
      </c>
      <c r="L48" s="238">
        <f t="shared" ca="1" si="8"/>
        <v>0</v>
      </c>
      <c r="M48" s="83"/>
      <c r="N48" s="100">
        <f xml:space="preserve"> _xlfn.IFNA( VLOOKUP( $C48, 'INPUTS│Performance Commitments'!$C$77:$I$89, MATCH( N$4, 'INPUTS│Performance Commitments'!$G$3:$I$3, 0 ) + 4, 0 ), "-" )</f>
        <v>128.57</v>
      </c>
      <c r="O48" s="100" t="str">
        <f ca="1" xml:space="preserve"> IF( $D48 &gt; 1, OFFSET( 'INPUTS│Performance Commitments'!$F$77, MATCH( $C48, 'INPUTS│Performance Commitments'!$C$77:$C$89, 0 ), MATCH( $N$4, 'INPUTS│Performance Commitments'!$G$3:$I$3, 0 ) ), "-" )</f>
        <v>-</v>
      </c>
      <c r="P48" s="100">
        <f xml:space="preserve"> _xlfn.IFNA( VLOOKUP( $C48, 'INPUTS│Performance Commitments'!$C$61:$I$73, MATCH( P$4, 'INPUTS│Performance Commitments'!$G$3:$I$3, 0 ) + 4, 0 ), "-" )</f>
        <v>128.31</v>
      </c>
      <c r="Q48" s="100" t="str">
        <f ca="1" xml:space="preserve"> IF( $D48 &gt; 1, OFFSET( 'INPUTS│Performance Commitments'!$F$61, MATCH( $C48, 'INPUTS│Performance Commitments'!$C$61:$C$73, 0 ), MATCH( $P$4, 'INPUTS│Performance Commitments'!$G$3:$I$3, 0 ) ), "-" )</f>
        <v>-</v>
      </c>
      <c r="R48" s="77" t="str">
        <f t="shared" si="14"/>
        <v>Failed</v>
      </c>
      <c r="S48" s="77" t="str">
        <f t="shared" ca="1" si="15"/>
        <v>-</v>
      </c>
      <c r="T48" s="238">
        <f t="shared" ca="1" si="9"/>
        <v>0</v>
      </c>
      <c r="U48" s="83"/>
      <c r="V48" s="229">
        <f xml:space="preserve"> _xlfn.IFNA( VLOOKUP( $C48, 'INPUTS│Performance Commitments'!$C$77:$L$89, MATCH( V$4, 'INPUTS│Performance Commitments'!$K$3:$L$3, 0 ) + 8, 0 ), "-" )</f>
        <v>128.57</v>
      </c>
      <c r="W48" s="229" t="str">
        <f ca="1" xml:space="preserve"> IF( $D48 &gt; 1, OFFSET( 'INPUTS│Performance Commitments'!$J$77, MATCH( $C48, 'INPUTS│Performance Commitments'!$C$77:$C$89, 0 ), MATCH( $V$4, 'INPUTS│Performance Commitments'!$K$3:$L$3, 0 ) ), "-" )</f>
        <v>-</v>
      </c>
      <c r="X48" s="229">
        <f xml:space="preserve"> _xlfn.IFNA( VLOOKUP( $C48, 'INPUTS│Performance Commitments'!$C$61:$L$73, MATCH( X$4, 'INPUTS│Performance Commitments'!$K$3:$L$3, 0 ) + 8, 0 ), "-" )</f>
        <v>128.31</v>
      </c>
      <c r="Y48" s="229" t="str">
        <f ca="1" xml:space="preserve"> IF( $D48 &gt; 1, OFFSET( 'INPUTS│Performance Commitments'!$J$61, MATCH( $C48, 'INPUTS│Performance Commitments'!$C$61:$C$73, 0 ), MATCH( $X$4, 'INPUTS│Performance Commitments'!$K$3:$L$3, 0 ) ), "-" )</f>
        <v>-</v>
      </c>
    </row>
    <row r="49" spans="2:26" outlineLevel="1" x14ac:dyDescent="0.25">
      <c r="C49" s="83" t="s">
        <v>110</v>
      </c>
      <c r="D49" s="171">
        <f xml:space="preserve"> COUNTIF( 'INPUTS│Performance Commitments'!$C$61:$C$73, C49 )</f>
        <v>1</v>
      </c>
      <c r="E49" s="83"/>
      <c r="F49" s="100">
        <f xml:space="preserve"> _xlfn.IFNA( VLOOKUP( $C49, 'INPUTS│Performance Commitments'!$C$77:$I$89, MATCH( F$4, 'INPUTS│Performance Commitments'!$G$3:$I$3, 0 ) + 4, 0 ), "-" )</f>
        <v>162.62</v>
      </c>
      <c r="G49" s="100" t="str">
        <f ca="1" xml:space="preserve"> IF( $D49 &gt; 1, OFFSET( 'INPUTS│Performance Commitments'!$F$77, MATCH( $C49, 'INPUTS│Performance Commitments'!$C$77:$C$89, 0 ), MATCH( $F$4, 'INPUTS│Performance Commitments'!$G$3:$I$3, 0 ) ), "-" )</f>
        <v>-</v>
      </c>
      <c r="H49" s="100">
        <f xml:space="preserve"> _xlfn.IFNA( VLOOKUP( $C49, 'INPUTS│Performance Commitments'!$C$61:$I$73, MATCH( H$4, 'INPUTS│Performance Commitments'!$G$3:$I$3, 0 ) + 4, 0 ), "-" )</f>
        <v>157.69999999999999</v>
      </c>
      <c r="I49" s="100" t="str">
        <f ca="1" xml:space="preserve"> IF( $D49 &gt; 1, OFFSET( 'INPUTS│Performance Commitments'!$F$61, MATCH( $C49, 'INPUTS│Performance Commitments'!$C$61:$C$73, 0 ), MATCH( $H$4, 'INPUTS│Performance Commitments'!$G$3:$I$3, 0 ) ), "-" )</f>
        <v>-</v>
      </c>
      <c r="J49" s="77" t="str">
        <f t="shared" si="10"/>
        <v>Failed</v>
      </c>
      <c r="K49" s="77" t="str">
        <f t="shared" ca="1" si="11"/>
        <v>-</v>
      </c>
      <c r="L49" s="238">
        <f t="shared" ca="1" si="8"/>
        <v>0</v>
      </c>
      <c r="M49" s="83"/>
      <c r="N49" s="100">
        <f xml:space="preserve"> _xlfn.IFNA( VLOOKUP( $C49, 'INPUTS│Performance Commitments'!$C$77:$I$89, MATCH( N$4, 'INPUTS│Performance Commitments'!$G$3:$I$3, 0 ) + 4, 0 ), "-" )</f>
        <v>153.1</v>
      </c>
      <c r="O49" s="100" t="str">
        <f ca="1" xml:space="preserve"> IF( $D49 &gt; 1, OFFSET( 'INPUTS│Performance Commitments'!$F$77, MATCH( $C49, 'INPUTS│Performance Commitments'!$C$77:$C$89, 0 ), MATCH( $N$4, 'INPUTS│Performance Commitments'!$G$3:$I$3, 0 ) ), "-" )</f>
        <v>-</v>
      </c>
      <c r="P49" s="100">
        <f xml:space="preserve"> _xlfn.IFNA( VLOOKUP( $C49, 'INPUTS│Performance Commitments'!$C$61:$I$73, MATCH( P$4, 'INPUTS│Performance Commitments'!$G$3:$I$3, 0 ) + 4, 0 ), "-" )</f>
        <v>156.9</v>
      </c>
      <c r="Q49" s="100" t="str">
        <f ca="1" xml:space="preserve"> IF( $D49 &gt; 1, OFFSET( 'INPUTS│Performance Commitments'!$F$61, MATCH( $C49, 'INPUTS│Performance Commitments'!$C$61:$C$73, 0 ), MATCH( $P$4, 'INPUTS│Performance Commitments'!$G$3:$I$3, 0 ) ), "-" )</f>
        <v>-</v>
      </c>
      <c r="R49" s="77" t="str">
        <f t="shared" si="14"/>
        <v>Met</v>
      </c>
      <c r="S49" s="77" t="str">
        <f t="shared" ca="1" si="15"/>
        <v>-</v>
      </c>
      <c r="T49" s="238">
        <f t="shared" ca="1" si="9"/>
        <v>1</v>
      </c>
      <c r="U49" s="83"/>
      <c r="V49" s="229">
        <f xml:space="preserve"> _xlfn.IFNA( VLOOKUP( $C49, 'INPUTS│Performance Commitments'!$C$77:$L$89, MATCH( V$4, 'INPUTS│Performance Commitments'!$K$3:$L$3, 0 ) + 8, 0 ), "-" )</f>
        <v>153.1</v>
      </c>
      <c r="W49" s="229" t="str">
        <f ca="1" xml:space="preserve"> IF( $D49 &gt; 1, OFFSET( 'INPUTS│Performance Commitments'!$J$77, MATCH( $C49, 'INPUTS│Performance Commitments'!$C$77:$C$89, 0 ), MATCH( $V$4, 'INPUTS│Performance Commitments'!$K$3:$L$3, 0 ) ), "-" )</f>
        <v>-</v>
      </c>
      <c r="X49" s="229">
        <f xml:space="preserve"> _xlfn.IFNA( VLOOKUP( $C49, 'INPUTS│Performance Commitments'!$C$61:$L$73, MATCH( X$4, 'INPUTS│Performance Commitments'!$K$3:$L$3, 0 ) + 8, 0 ), "-" )</f>
        <v>156.9</v>
      </c>
      <c r="Y49" s="229" t="str">
        <f ca="1" xml:space="preserve"> IF( $D49 &gt; 1, OFFSET( 'INPUTS│Performance Commitments'!$J$61, MATCH( $C49, 'INPUTS│Performance Commitments'!$C$61:$C$73, 0 ), MATCH( $X$4, 'INPUTS│Performance Commitments'!$K$3:$L$3, 0 ) ), "-" )</f>
        <v>-</v>
      </c>
    </row>
    <row r="50" spans="2:26" outlineLevel="1" x14ac:dyDescent="0.25">
      <c r="C50" s="330"/>
      <c r="D50" s="83"/>
      <c r="E50" s="83"/>
      <c r="F50" s="83"/>
      <c r="G50" s="83"/>
      <c r="H50" s="83"/>
      <c r="I50" s="83"/>
      <c r="J50" s="83"/>
      <c r="K50" s="83"/>
      <c r="L50" s="83"/>
      <c r="M50" s="83"/>
      <c r="N50" s="83"/>
      <c r="O50" s="83"/>
      <c r="P50" s="83"/>
      <c r="Q50" s="83"/>
      <c r="R50" s="83"/>
      <c r="S50" s="83"/>
      <c r="T50" s="83"/>
      <c r="U50" s="83"/>
      <c r="V50" s="83"/>
      <c r="W50" s="83"/>
      <c r="X50" s="83"/>
      <c r="Y50" s="83"/>
    </row>
    <row r="51" spans="2:26" outlineLevel="1" x14ac:dyDescent="0.25">
      <c r="C51" s="83" t="s">
        <v>118</v>
      </c>
      <c r="D51" s="171">
        <f xml:space="preserve"> COUNTIF( 'INPUTS│Performance Commitments'!$C$61:$C$73, C51 )</f>
        <v>0</v>
      </c>
      <c r="E51" s="83"/>
      <c r="F51" s="100" t="str">
        <f xml:space="preserve"> _xlfn.IFNA( VLOOKUP( $C51, 'INPUTS│Performance Commitments'!$C$77:$I$89, MATCH( F$4, 'INPUTS│Performance Commitments'!$G$3:$I$3, 0 ) + 4, 0 ), "-" )</f>
        <v>-</v>
      </c>
      <c r="G51" s="100" t="str">
        <f ca="1" xml:space="preserve"> IF( $D51 &gt; 1, OFFSET( 'INPUTS│Performance Commitments'!$F$77, MATCH( $C51, 'INPUTS│Performance Commitments'!$C$77:$C$89, 0 ), MATCH( $F$4, 'INPUTS│Performance Commitments'!$G$3:$I$3, 0 ) ), "-" )</f>
        <v>-</v>
      </c>
      <c r="H51" s="100" t="str">
        <f xml:space="preserve"> _xlfn.IFNA( VLOOKUP( $C51, 'INPUTS│Performance Commitments'!$C$61:$I$73, MATCH( H$4, 'INPUTS│Performance Commitments'!$G$3:$I$3, 0 ) + 4, 0 ), "-" )</f>
        <v>-</v>
      </c>
      <c r="I51" s="100" t="str">
        <f ca="1" xml:space="preserve"> IF( $D51 &gt; 1, OFFSET( 'INPUTS│Performance Commitments'!$F$61, MATCH( $C51, 'INPUTS│Performance Commitments'!$C$61:$C$73, 0 ), MATCH( $H$4, 'INPUTS│Performance Commitments'!$G$3:$I$3, 0 ) ), "-" )</f>
        <v>-</v>
      </c>
      <c r="J51" s="77" t="str">
        <f xml:space="preserve"> IF( H51 &lt;&gt; "-", IF( F51 &lt;= H51, "Met", "Failed" ), "-" )</f>
        <v>-</v>
      </c>
      <c r="K51" s="77" t="str">
        <f ca="1" xml:space="preserve"> IF( I51 &lt;&gt; "-", IF( G51 &lt;= I51, "Met", "Failed" ), "-" )</f>
        <v>-</v>
      </c>
      <c r="L51" s="238" t="str">
        <f xml:space="preserve"> IF( H51 = "-", "-", COUNTIF( J51:K51, "Met" ) / $D51 )</f>
        <v>-</v>
      </c>
      <c r="M51" s="83"/>
      <c r="N51" s="100" t="str">
        <f xml:space="preserve"> _xlfn.IFNA( VLOOKUP( $C51, 'INPUTS│Performance Commitments'!$C$77:$I$89, MATCH( N$4, 'INPUTS│Performance Commitments'!$G$3:$I$3, 0 ) + 4, 0 ), "-" )</f>
        <v>-</v>
      </c>
      <c r="O51" s="100" t="str">
        <f ca="1" xml:space="preserve"> IF( $D51 &gt; 1, OFFSET( 'INPUTS│Performance Commitments'!$F$77, MATCH( $C51, 'INPUTS│Performance Commitments'!$C$77:$C$89, 0 ), MATCH( $N$4, 'INPUTS│Performance Commitments'!$G$3:$I$3, 0 ) ), "-" )</f>
        <v>-</v>
      </c>
      <c r="P51" s="100" t="str">
        <f xml:space="preserve"> _xlfn.IFNA( VLOOKUP( $C51, 'INPUTS│Performance Commitments'!$C$61:$I$73, MATCH( P$4, 'INPUTS│Performance Commitments'!$G$3:$I$3, 0 ) + 4, 0 ), "-" )</f>
        <v>-</v>
      </c>
      <c r="Q51" s="100" t="str">
        <f ca="1" xml:space="preserve"> IF( $D51 &gt; 1, OFFSET( 'INPUTS│Performance Commitments'!$F$61, MATCH( $C51, 'INPUTS│Performance Commitments'!$C$61:$C$73, 0 ), MATCH( $P$4, 'INPUTS│Performance Commitments'!$G$3:$I$3, 0 ) ), "-" )</f>
        <v>-</v>
      </c>
      <c r="R51" s="77" t="str">
        <f xml:space="preserve"> IF( P51 &lt;&gt; "-", IF( N51 &lt;= P51, "Met", "Failed" ), "-" )</f>
        <v>-</v>
      </c>
      <c r="S51" s="77" t="str">
        <f ca="1" xml:space="preserve"> IF( Q51 &lt;&gt; "-", IF( O51 &lt;= Q51, "Met", "Failed" ), "-" )</f>
        <v>-</v>
      </c>
      <c r="T51" s="238" t="str">
        <f xml:space="preserve"> IF( P51 = "-", "-", COUNTIF( R51:S51, "Met" ) / $D51 )</f>
        <v>-</v>
      </c>
      <c r="U51" s="83"/>
      <c r="V51" s="229" t="str">
        <f xml:space="preserve"> _xlfn.IFNA( VLOOKUP( $C51, 'INPUTS│Performance Commitments'!$C$77:$L$89, MATCH( V$4, 'INPUTS│Performance Commitments'!$K$3:$L$3, 0 ) + 8, 0 ), "-" )</f>
        <v>-</v>
      </c>
      <c r="W51" s="229" t="str">
        <f ca="1" xml:space="preserve"> IF( $D51 &gt; 1, OFFSET( 'INPUTS│Performance Commitments'!$J$77, MATCH( $C51, 'INPUTS│Performance Commitments'!$C$77:$C$89, 0 ), MATCH( $V$4, 'INPUTS│Performance Commitments'!$K$3:$L$3, 0 ) ), "-" )</f>
        <v>-</v>
      </c>
      <c r="X51" s="229" t="str">
        <f xml:space="preserve"> _xlfn.IFNA( VLOOKUP( $C51, 'INPUTS│Performance Commitments'!$C$61:$L$73, MATCH( X$4, 'INPUTS│Performance Commitments'!$K$3:$L$3, 0 ) + 8, 0 ), "-" )</f>
        <v>-</v>
      </c>
      <c r="Y51" s="229" t="str">
        <f ca="1" xml:space="preserve"> IF( $D51 &gt; 1, OFFSET( 'INPUTS│Performance Commitments'!$J$61, MATCH( $C51, 'INPUTS│Performance Commitments'!$C$61:$C$73, 0 ), MATCH( $X$4, 'INPUTS│Performance Commitments'!$K$3:$L$3, 0 ) ), "-" )</f>
        <v>-</v>
      </c>
    </row>
    <row r="52" spans="2:26" outlineLevel="1" x14ac:dyDescent="0.25">
      <c r="C52" s="83" t="s">
        <v>116</v>
      </c>
      <c r="D52" s="171">
        <f xml:space="preserve"> COUNTIF( 'INPUTS│Performance Commitments'!$C$61:$C$73, C52 )</f>
        <v>1</v>
      </c>
      <c r="E52" s="83"/>
      <c r="F52" s="100">
        <f xml:space="preserve"> _xlfn.IFNA( VLOOKUP( $C52, 'INPUTS│Performance Commitments'!$C$77:$I$89, MATCH( F$4, 'INPUTS│Performance Commitments'!$G$3:$I$3, 0 ) + 4, 0 ), "-" )</f>
        <v>151.33000000000001</v>
      </c>
      <c r="G52" s="100" t="str">
        <f ca="1" xml:space="preserve"> IF( $D52 &gt; 1, OFFSET( 'INPUTS│Performance Commitments'!$F$77, MATCH( $C52, 'INPUTS│Performance Commitments'!$C$77:$C$89, 0 ), MATCH( $F$4, 'INPUTS│Performance Commitments'!$G$3:$I$3, 0 ) ), "-" )</f>
        <v>-</v>
      </c>
      <c r="H52" s="100" t="str">
        <f xml:space="preserve"> _xlfn.IFNA( VLOOKUP( $C52, 'INPUTS│Performance Commitments'!$C$61:$I$73, MATCH( H$4, 'INPUTS│Performance Commitments'!$G$3:$I$3, 0 ) + 4, 0 ), "-" )</f>
        <v>-</v>
      </c>
      <c r="I52" s="100" t="str">
        <f ca="1" xml:space="preserve"> IF( $D52 &gt; 1, OFFSET( 'INPUTS│Performance Commitments'!$F$61, MATCH( $C52, 'INPUTS│Performance Commitments'!$C$61:$C$73, 0 ), MATCH( $H$4, 'INPUTS│Performance Commitments'!$G$3:$I$3, 0 ) ), "-" )</f>
        <v>-</v>
      </c>
      <c r="J52" s="77" t="str">
        <f xml:space="preserve"> IF( H52 &lt;&gt; "-", IF( F52 &lt;= H52, "Met", "Failed" ), "-" )</f>
        <v>-</v>
      </c>
      <c r="K52" s="77" t="str">
        <f ca="1" xml:space="preserve"> IF( I52 &lt;&gt; "-", IF( G52 &lt;= I52, "Met", "Failed" ), "-" )</f>
        <v>-</v>
      </c>
      <c r="L52" s="238" t="str">
        <f xml:space="preserve"> IF( H52 = "-", "-", COUNTIF( J52:K52, "Met" ) / $D52 )</f>
        <v>-</v>
      </c>
      <c r="M52" s="83"/>
      <c r="N52" s="100">
        <f xml:space="preserve"> _xlfn.IFNA( VLOOKUP( $C52, 'INPUTS│Performance Commitments'!$C$77:$I$89, MATCH( N$4, 'INPUTS│Performance Commitments'!$G$3:$I$3, 0 ) + 4, 0 ), "-" )</f>
        <v>153.63</v>
      </c>
      <c r="O52" s="100" t="str">
        <f ca="1" xml:space="preserve"> IF( $D52 &gt; 1, OFFSET( 'INPUTS│Performance Commitments'!$F$77, MATCH( $C52, 'INPUTS│Performance Commitments'!$C$77:$C$89, 0 ), MATCH( $N$4, 'INPUTS│Performance Commitments'!$G$3:$I$3, 0 ) ), "-" )</f>
        <v>-</v>
      </c>
      <c r="P52" s="100">
        <f xml:space="preserve"> _xlfn.IFNA( VLOOKUP( $C52, 'INPUTS│Performance Commitments'!$C$61:$I$73, MATCH( P$4, 'INPUTS│Performance Commitments'!$G$3:$I$3, 0 ) + 4, 0 ), "-" )</f>
        <v>140</v>
      </c>
      <c r="Q52" s="100" t="str">
        <f ca="1" xml:space="preserve"> IF( $D52 &gt; 1, OFFSET( 'INPUTS│Performance Commitments'!$F$61, MATCH( $C52, 'INPUTS│Performance Commitments'!$C$61:$C$73, 0 ), MATCH( $P$4, 'INPUTS│Performance Commitments'!$G$3:$I$3, 0 ) ), "-" )</f>
        <v>-</v>
      </c>
      <c r="R52" s="77" t="str">
        <f xml:space="preserve"> IF( P52 &lt;&gt; "-", IF( N52 &lt;= P52, "Met", "Failed" ), "-" )</f>
        <v>Failed</v>
      </c>
      <c r="S52" s="77" t="str">
        <f ca="1" xml:space="preserve"> IF( Q52 &lt;&gt; "-", IF( O52 &lt;= Q52, "Met", "Failed" ), "-" )</f>
        <v>-</v>
      </c>
      <c r="T52" s="238">
        <f ca="1" xml:space="preserve"> IF( P52 = "-", "-", COUNTIF( R52:S52, "Met" ) / $D52 )</f>
        <v>0</v>
      </c>
      <c r="U52" s="83"/>
      <c r="V52" s="229">
        <f xml:space="preserve"> _xlfn.IFNA( VLOOKUP( $C52, 'INPUTS│Performance Commitments'!$C$77:$L$89, MATCH( V$4, 'INPUTS│Performance Commitments'!$K$3:$L$3, 0 ) + 8, 0 ), "-" )</f>
        <v>153.63</v>
      </c>
      <c r="W52" s="229" t="str">
        <f ca="1" xml:space="preserve"> IF( $D52 &gt; 1, OFFSET( 'INPUTS│Performance Commitments'!$J$77, MATCH( $C52, 'INPUTS│Performance Commitments'!$C$77:$C$89, 0 ), MATCH( $V$4, 'INPUTS│Performance Commitments'!$K$3:$L$3, 0 ) ), "-" )</f>
        <v>-</v>
      </c>
      <c r="X52" s="229">
        <f xml:space="preserve"> _xlfn.IFNA( VLOOKUP( $C52, 'INPUTS│Performance Commitments'!$C$61:$L$73, MATCH( X$4, 'INPUTS│Performance Commitments'!$K$3:$L$3, 0 ) + 8, 0 ), "-" )</f>
        <v>140</v>
      </c>
      <c r="Y52" s="229" t="str">
        <f ca="1" xml:space="preserve"> IF( $D52 &gt; 1, OFFSET( 'INPUTS│Performance Commitments'!$J$61, MATCH( $C52, 'INPUTS│Performance Commitments'!$C$61:$C$73, 0 ), MATCH( $X$4, 'INPUTS│Performance Commitments'!$K$3:$L$3, 0 ) ), "-" )</f>
        <v>-</v>
      </c>
    </row>
    <row r="54" spans="2:26" ht="13.5" x14ac:dyDescent="0.35">
      <c r="B54" s="9" t="s">
        <v>224</v>
      </c>
      <c r="C54" s="9"/>
      <c r="D54" s="10"/>
      <c r="E54" s="9"/>
      <c r="F54" s="9"/>
      <c r="G54" s="9"/>
      <c r="H54" s="9"/>
      <c r="I54" s="9"/>
      <c r="J54" s="9"/>
      <c r="K54" s="9"/>
      <c r="L54" s="9"/>
      <c r="M54" s="9"/>
      <c r="N54" s="9"/>
      <c r="O54" s="9"/>
      <c r="P54" s="9"/>
      <c r="Q54" s="9"/>
      <c r="R54" s="9"/>
      <c r="S54" s="9"/>
      <c r="T54" s="9"/>
      <c r="U54" s="9"/>
      <c r="V54" s="9"/>
      <c r="W54" s="9"/>
      <c r="X54" s="9"/>
      <c r="Y54" s="9"/>
      <c r="Z54" s="9"/>
    </row>
    <row r="55" spans="2:26" outlineLevel="1" x14ac:dyDescent="0.25"/>
    <row r="56" spans="2:26" outlineLevel="1" x14ac:dyDescent="0.25">
      <c r="C56" s="8" t="s">
        <v>80</v>
      </c>
      <c r="D56" s="171">
        <f xml:space="preserve"> COUNTIF( 'INPUTS│Performance Commitments'!$C$95:$C$113, C56 )</f>
        <v>1</v>
      </c>
      <c r="F56" s="100">
        <f xml:space="preserve"> _xlfn.IFNA( VLOOKUP( $C56, 'INPUTS│Performance Commitments'!$C$117:$I$135, MATCH( F$4, 'INPUTS│Performance Commitments'!$G$3:$I$3, 0 ) + 4, 0 ), "-" )</f>
        <v>8.73</v>
      </c>
      <c r="G56" s="100" t="str">
        <f ca="1" xml:space="preserve"> IF( $D56 &gt; 1, OFFSET( 'INPUTS│Performance Commitments'!$F$117, MATCH( $C56, 'INPUTS│Performance Commitments'!$C$117:$C$135, 0 ), MATCH( $F$4, 'INPUTS│Performance Commitments'!$G$3:$I$3, 0 ) ), "-" )</f>
        <v>-</v>
      </c>
      <c r="H56" s="100">
        <f xml:space="preserve"> _xlfn.IFNA( VLOOKUP( $C56, 'INPUTS│Performance Commitments'!$C$95:$I$113, MATCH( H$4, 'INPUTS│Performance Commitments'!$G$3:$I$3, 0 ) + 4, 0 ), "-" )</f>
        <v>12</v>
      </c>
      <c r="I56" s="100" t="str">
        <f ca="1" xml:space="preserve"> IF( $D56 &gt; 1, OFFSET( 'INPUTS│Performance Commitments'!$F$95, MATCH( $C56, 'INPUTS│Performance Commitments'!$C$95:$C$113, 0 ), MATCH( $H$4, 'INPUTS│Performance Commitments'!$G$3:$I$3, 0 ) ), "-" )</f>
        <v>-</v>
      </c>
      <c r="J56" s="77" t="str">
        <f t="shared" ref="J56:K60" si="16" xml:space="preserve"> IF( H56 &lt;&gt; "-", IF( F56 &lt;= H56, "Met", "Failed" ), "-" )</f>
        <v>Met</v>
      </c>
      <c r="K56" s="77" t="str">
        <f t="shared" ca="1" si="16"/>
        <v>-</v>
      </c>
      <c r="L56" s="238">
        <f ca="1" xml:space="preserve"> IF( H56 = "-", "-", COUNTIF( J56:K56, "Met" ) / $D56 )</f>
        <v>1</v>
      </c>
      <c r="N56" s="100">
        <f xml:space="preserve"> _xlfn.IFNA( VLOOKUP( $C56, 'INPUTS│Performance Commitments'!$C$117:$I$135, MATCH( N$4, 'INPUTS│Performance Commitments'!$G$3:$I$3, 0 ) + 4, 0 ), "-" )</f>
        <v>18.649999999999999</v>
      </c>
      <c r="O56" s="100" t="str">
        <f ca="1" xml:space="preserve"> IF( $D56 &gt; 1, OFFSET( 'INPUTS│Performance Commitments'!$F$117, MATCH( $C56, 'INPUTS│Performance Commitments'!$C$117:$C$135, 0 ), MATCH( $N$4, 'INPUTS│Performance Commitments'!$G$3:$I$3, 0 ) ), "-" )</f>
        <v>-</v>
      </c>
      <c r="P56" s="100">
        <f xml:space="preserve"> _xlfn.IFNA( VLOOKUP( $C56, 'INPUTS│Performance Commitments'!$C$95:$I$113, MATCH( P$4, 'INPUTS│Performance Commitments'!$G$3:$I$3, 0 ) + 4, 0 ), "-" )</f>
        <v>12</v>
      </c>
      <c r="Q56" s="100" t="str">
        <f ca="1" xml:space="preserve"> IF( $D56 &gt; 1, OFFSET( 'INPUTS│Performance Commitments'!$F$95, MATCH( $C56, 'INPUTS│Performance Commitments'!$C$95:$C$113, 0 ), MATCH( $P$4, 'INPUTS│Performance Commitments'!$G$3:$I$3, 0 ) ), "-" )</f>
        <v>-</v>
      </c>
      <c r="R56" s="77" t="str">
        <f t="shared" ref="R56:S60" si="17" xml:space="preserve"> IF( P56 &lt;&gt; "-", IF( N56 &lt;= P56, "Met", "Failed" ), "-" )</f>
        <v>Failed</v>
      </c>
      <c r="S56" s="77" t="str">
        <f t="shared" ca="1" si="17"/>
        <v>-</v>
      </c>
      <c r="T56" s="238">
        <f ca="1" xml:space="preserve"> IF( P56 = "-", "-", COUNTIF( R56:S56, "Met" ) / $D56 )</f>
        <v>0</v>
      </c>
      <c r="U56" s="47"/>
      <c r="V56" s="229">
        <f xml:space="preserve"> _xlfn.IFNA( VLOOKUP( $C56, 'INPUTS│Performance Commitments'!$C$117:$L$135, MATCH( V$4, 'INPUTS│Performance Commitments'!$K$3:$L$3, 0 ) + 8, 0 ), "-" )</f>
        <v>18.649999999999999</v>
      </c>
      <c r="W56" s="229" t="str">
        <f ca="1" xml:space="preserve"> IF( $D56 &gt; 1, OFFSET( 'INPUTS│Performance Commitments'!$J$117, MATCH( $C56, 'INPUTS│Performance Commitments'!$C$117:$C$135, 0 ), MATCH( $V$4, 'INPUTS│Performance Commitments'!$K$3:$L$3, 0 ) ), "-" )</f>
        <v>-</v>
      </c>
      <c r="X56" s="229">
        <f xml:space="preserve"> _xlfn.IFNA( VLOOKUP( $C56, 'INPUTS│Performance Commitments'!$C$95:$L$113, MATCH( X$4, 'INPUTS│Performance Commitments'!$K$3:$L$3, 0 ) + 8, 0 ), "-" )</f>
        <v>12</v>
      </c>
      <c r="Y56" s="229" t="str">
        <f ca="1" xml:space="preserve"> IF( $D56 &gt; 1, OFFSET( 'INPUTS│Performance Commitments'!$J$95, MATCH( $C56, 'INPUTS│Performance Commitments'!$C$95:$C$113, 0 ), MATCH( $X$4, 'INPUTS│Performance Commitments'!$K$3:$L$3, 0 ) ), "-" )</f>
        <v>-</v>
      </c>
    </row>
    <row r="57" spans="2:26" outlineLevel="1" x14ac:dyDescent="0.25">
      <c r="C57" s="8" t="s">
        <v>82</v>
      </c>
      <c r="D57" s="171">
        <f xml:space="preserve"> COUNTIF( 'INPUTS│Performance Commitments'!$C$95:$C$113, C57 )</f>
        <v>1</v>
      </c>
      <c r="F57" s="100">
        <f xml:space="preserve"> _xlfn.IFNA( VLOOKUP( $C57, 'INPUTS│Performance Commitments'!$C$117:$I$135, MATCH( F$4, 'INPUTS│Performance Commitments'!$G$3:$I$3, 0 ) + 4, 0 ), "-" )</f>
        <v>16</v>
      </c>
      <c r="G57" s="100" t="str">
        <f ca="1" xml:space="preserve"> IF( $D57 &gt; 1, OFFSET( 'INPUTS│Performance Commitments'!$F$117, MATCH( $C57, 'INPUTS│Performance Commitments'!$C$117:$C$135, 0 ), MATCH( $F$4, 'INPUTS│Performance Commitments'!$G$3:$I$3, 0 ) ), "-" )</f>
        <v>-</v>
      </c>
      <c r="H57" s="100">
        <f xml:space="preserve"> _xlfn.IFNA( VLOOKUP( $C57, 'INPUTS│Performance Commitments'!$C$95:$I$113, MATCH( H$4, 'INPUTS│Performance Commitments'!$G$3:$I$3, 0 ) + 4, 0 ), "-" )</f>
        <v>12</v>
      </c>
      <c r="I57" s="100" t="str">
        <f ca="1" xml:space="preserve"> IF( $D57 &gt; 1, OFFSET( 'INPUTS│Performance Commitments'!$F$95, MATCH( $C57, 'INPUTS│Performance Commitments'!$C$95:$C$113, 0 ), MATCH( $H$4, 'INPUTS│Performance Commitments'!$G$3:$I$3, 0 ) ), "-" )</f>
        <v>-</v>
      </c>
      <c r="J57" s="77" t="str">
        <f t="shared" si="16"/>
        <v>Failed</v>
      </c>
      <c r="K57" s="77" t="str">
        <f t="shared" ca="1" si="16"/>
        <v>-</v>
      </c>
      <c r="L57" s="238">
        <f ca="1" xml:space="preserve"> IF( H57 = "-", "-", COUNTIF( J57:K57, "Met" ) / $D57 )</f>
        <v>0</v>
      </c>
      <c r="N57" s="100">
        <f xml:space="preserve"> _xlfn.IFNA( VLOOKUP( $C57, 'INPUTS│Performance Commitments'!$C$117:$I$135, MATCH( N$4, 'INPUTS│Performance Commitments'!$G$3:$I$3, 0 ) + 4, 0 ), "-" )</f>
        <v>14.7</v>
      </c>
      <c r="O57" s="100" t="str">
        <f ca="1" xml:space="preserve"> IF( $D57 &gt; 1, OFFSET( 'INPUTS│Performance Commitments'!$F$117, MATCH( $C57, 'INPUTS│Performance Commitments'!$C$117:$C$135, 0 ), MATCH( $N$4, 'INPUTS│Performance Commitments'!$G$3:$I$3, 0 ) ), "-" )</f>
        <v>-</v>
      </c>
      <c r="P57" s="100">
        <f xml:space="preserve"> _xlfn.IFNA( VLOOKUP( $C57, 'INPUTS│Performance Commitments'!$C$95:$I$113, MATCH( P$4, 'INPUTS│Performance Commitments'!$G$3:$I$3, 0 ) + 4, 0 ), "-" )</f>
        <v>12</v>
      </c>
      <c r="Q57" s="100" t="str">
        <f ca="1" xml:space="preserve"> IF( $D57 &gt; 1, OFFSET( 'INPUTS│Performance Commitments'!$F$95, MATCH( $C57, 'INPUTS│Performance Commitments'!$C$95:$C$113, 0 ), MATCH( $P$4, 'INPUTS│Performance Commitments'!$G$3:$I$3, 0 ) ), "-" )</f>
        <v>-</v>
      </c>
      <c r="R57" s="77" t="str">
        <f t="shared" si="17"/>
        <v>Failed</v>
      </c>
      <c r="S57" s="77" t="str">
        <f t="shared" ca="1" si="17"/>
        <v>-</v>
      </c>
      <c r="T57" s="238">
        <f ca="1" xml:space="preserve"> IF( P57 = "-", "-", COUNTIF( R57:S57, "Met" ) / $D57 )</f>
        <v>0</v>
      </c>
      <c r="U57" s="47"/>
      <c r="V57" s="229">
        <f xml:space="preserve"> _xlfn.IFNA( VLOOKUP( $C57, 'INPUTS│Performance Commitments'!$C$117:$L$135, MATCH( V$4, 'INPUTS│Performance Commitments'!$K$3:$L$3, 0 ) + 8, 0 ), "-" )</f>
        <v>14.7</v>
      </c>
      <c r="W57" s="229" t="str">
        <f ca="1" xml:space="preserve"> IF( $D57 &gt; 1, OFFSET( 'INPUTS│Performance Commitments'!$J$117, MATCH( $C57, 'INPUTS│Performance Commitments'!$C$117:$C$135, 0 ), MATCH( $V$4, 'INPUTS│Performance Commitments'!$K$3:$L$3, 0 ) ), "-" )</f>
        <v>-</v>
      </c>
      <c r="X57" s="229">
        <f xml:space="preserve"> _xlfn.IFNA( VLOOKUP( $C57, 'INPUTS│Performance Commitments'!$C$95:$L$113, MATCH( X$4, 'INPUTS│Performance Commitments'!$K$3:$L$3, 0 ) + 8, 0 ), "-" )</f>
        <v>12</v>
      </c>
      <c r="Y57" s="229" t="str">
        <f ca="1" xml:space="preserve"> IF( $D57 &gt; 1, OFFSET( 'INPUTS│Performance Commitments'!$J$95, MATCH( $C57, 'INPUTS│Performance Commitments'!$C$95:$C$113, 0 ), MATCH( $X$4, 'INPUTS│Performance Commitments'!$K$3:$L$3, 0 ) ), "-" )</f>
        <v>-</v>
      </c>
    </row>
    <row r="58" spans="2:26" outlineLevel="1" x14ac:dyDescent="0.25">
      <c r="C58" s="8" t="s">
        <v>85</v>
      </c>
      <c r="D58" s="171">
        <f xml:space="preserve"> COUNTIF( 'INPUTS│Performance Commitments'!$C$95:$C$113, C58 )</f>
        <v>2</v>
      </c>
      <c r="F58" s="100">
        <f xml:space="preserve"> _xlfn.IFNA( VLOOKUP( $C58, 'INPUTS│Performance Commitments'!$C$117:$I$135, MATCH( F$4, 'INPUTS│Performance Commitments'!$G$3:$I$3, 0 ) + 4, 0 ), "-" )</f>
        <v>0.12</v>
      </c>
      <c r="G58" s="100">
        <f ca="1" xml:space="preserve"> IF( $D58 &gt; 1, OFFSET( 'INPUTS│Performance Commitments'!$F$117, MATCH( $C58, 'INPUTS│Performance Commitments'!$C$117:$C$135, 0 ), MATCH( $F$4, 'INPUTS│Performance Commitments'!$G$3:$I$3, 0 ) ), "-" )</f>
        <v>93.744790337089739</v>
      </c>
      <c r="H58" s="100">
        <f xml:space="preserve"> _xlfn.IFNA( VLOOKUP( $C58, 'INPUTS│Performance Commitments'!$C$95:$I$113, MATCH( H$4, 'INPUTS│Performance Commitments'!$G$3:$I$3, 0 ) + 4, 0 ), "-" )</f>
        <v>0.2</v>
      </c>
      <c r="I58" s="100">
        <f ca="1" xml:space="preserve"> IF( $D58 &gt; 1, OFFSET( 'INPUTS│Performance Commitments'!$F$95, MATCH( $C58, 'INPUTS│Performance Commitments'!$C$95:$C$113, 0 ), MATCH( $H$4, 'INPUTS│Performance Commitments'!$G$3:$I$3, 0 ) ), "-" )</f>
        <v>7.1</v>
      </c>
      <c r="J58" s="77" t="str">
        <f t="shared" si="16"/>
        <v>Met</v>
      </c>
      <c r="K58" s="77" t="str">
        <f t="shared" ca="1" si="16"/>
        <v>Failed</v>
      </c>
      <c r="L58" s="238">
        <f ca="1" xml:space="preserve"> IF( H58 = "-", "-", COUNTIF( J58:K58, "Met" ) / $D58 )</f>
        <v>0.5</v>
      </c>
      <c r="N58" s="100">
        <f xml:space="preserve"> _xlfn.IFNA( VLOOKUP( $C58, 'INPUTS│Performance Commitments'!$C$117:$I$135, MATCH( N$4, 'INPUTS│Performance Commitments'!$G$3:$I$3, 0 ) + 4, 0 ), "-" )</f>
        <v>0.19</v>
      </c>
      <c r="O58" s="100">
        <f ca="1" xml:space="preserve"> IF( $D58 &gt; 1, OFFSET( 'INPUTS│Performance Commitments'!$F$117, MATCH( $C58, 'INPUTS│Performance Commitments'!$C$117:$C$135, 0 ), MATCH( $N$4, 'INPUTS│Performance Commitments'!$G$3:$I$3, 0 ) ), "-" )</f>
        <v>31.6</v>
      </c>
      <c r="P58" s="100">
        <f xml:space="preserve"> _xlfn.IFNA( VLOOKUP( $C58, 'INPUTS│Performance Commitments'!$C$95:$I$113, MATCH( P$4, 'INPUTS│Performance Commitments'!$G$3:$I$3, 0 ) + 4, 0 ), "-" )</f>
        <v>0.2</v>
      </c>
      <c r="Q58" s="100">
        <f ca="1" xml:space="preserve"> IF( $D58 &gt; 1, OFFSET( 'INPUTS│Performance Commitments'!$F$95, MATCH( $C58, 'INPUTS│Performance Commitments'!$C$95:$C$113, 0 ), MATCH( $P$4, 'INPUTS│Performance Commitments'!$G$3:$I$3, 0 ) ), "-" )</f>
        <v>8</v>
      </c>
      <c r="R58" s="77" t="str">
        <f t="shared" si="17"/>
        <v>Met</v>
      </c>
      <c r="S58" s="77" t="str">
        <f t="shared" ca="1" si="17"/>
        <v>Failed</v>
      </c>
      <c r="T58" s="238">
        <f ca="1" xml:space="preserve"> IF( P58 = "-", "-", COUNTIF( R58:S58, "Met" ) / $D58 )</f>
        <v>0.5</v>
      </c>
      <c r="U58" s="47"/>
      <c r="V58" s="229">
        <f xml:space="preserve"> _xlfn.IFNA( VLOOKUP( $C58, 'INPUTS│Performance Commitments'!$C$117:$L$135, MATCH( V$4, 'INPUTS│Performance Commitments'!$K$3:$L$3, 0 ) + 8, 0 ), "-" )</f>
        <v>11.4</v>
      </c>
      <c r="W58" s="229">
        <f ca="1" xml:space="preserve"> IF( $D58 &gt; 1, OFFSET( 'INPUTS│Performance Commitments'!$J$117, MATCH( $C58, 'INPUTS│Performance Commitments'!$C$117:$C$135, 0 ), MATCH( $V$4, 'INPUTS│Performance Commitments'!$K$3:$L$3, 0 ) ), "-" )</f>
        <v>31.6</v>
      </c>
      <c r="X58" s="229">
        <f xml:space="preserve"> _xlfn.IFNA( VLOOKUP( $C58, 'INPUTS│Performance Commitments'!$C$95:$L$113, MATCH( X$4, 'INPUTS│Performance Commitments'!$K$3:$L$3, 0 ) + 8, 0 ), "-" )</f>
        <v>12</v>
      </c>
      <c r="Y58" s="229">
        <f ca="1" xml:space="preserve"> IF( $D58 &gt; 1, OFFSET( 'INPUTS│Performance Commitments'!$J$95, MATCH( $C58, 'INPUTS│Performance Commitments'!$C$95:$C$113, 0 ), MATCH( $X$4, 'INPUTS│Performance Commitments'!$K$3:$L$3, 0 ) ), "-" )</f>
        <v>8</v>
      </c>
    </row>
    <row r="59" spans="2:26" outlineLevel="1" x14ac:dyDescent="0.25">
      <c r="C59" s="8" t="s">
        <v>87</v>
      </c>
      <c r="D59" s="171">
        <f xml:space="preserve"> COUNTIF( 'INPUTS│Performance Commitments'!$C$95:$C$113, C59 )</f>
        <v>1</v>
      </c>
      <c r="F59" s="100">
        <f xml:space="preserve"> _xlfn.IFNA( VLOOKUP( $C59, 'INPUTS│Performance Commitments'!$C$117:$I$135, MATCH( F$4, 'INPUTS│Performance Commitments'!$G$3:$I$3, 0 ) + 4, 0 ), "-" )</f>
        <v>0.3833333333333333</v>
      </c>
      <c r="G59" s="100" t="str">
        <f ca="1" xml:space="preserve"> IF( $D59 &gt; 1, OFFSET( 'INPUTS│Performance Commitments'!$F$117, MATCH( $C59, 'INPUTS│Performance Commitments'!$C$117:$C$135, 0 ), MATCH( $F$4, 'INPUTS│Performance Commitments'!$G$3:$I$3, 0 ) ), "-" )</f>
        <v>-</v>
      </c>
      <c r="H59" s="100">
        <f xml:space="preserve"> _xlfn.IFNA( VLOOKUP( $C59, 'INPUTS│Performance Commitments'!$C$95:$I$113, MATCH( H$4, 'INPUTS│Performance Commitments'!$G$3:$I$3, 0 ) + 4, 0 ), "-" )</f>
        <v>0.22847222222222222</v>
      </c>
      <c r="I59" s="100" t="str">
        <f ca="1" xml:space="preserve"> IF( $D59 &gt; 1, OFFSET( 'INPUTS│Performance Commitments'!$F$95, MATCH( $C59, 'INPUTS│Performance Commitments'!$C$95:$C$113, 0 ), MATCH( $H$4, 'INPUTS│Performance Commitments'!$G$3:$I$3, 0 ) ), "-" )</f>
        <v>-</v>
      </c>
      <c r="J59" s="77" t="str">
        <f t="shared" si="16"/>
        <v>Failed</v>
      </c>
      <c r="K59" s="77" t="str">
        <f t="shared" ca="1" si="16"/>
        <v>-</v>
      </c>
      <c r="L59" s="238">
        <f ca="1" xml:space="preserve"> IF( H59 = "-", "-", COUNTIF( J59:K59, "Met" ) / $D59 )</f>
        <v>0</v>
      </c>
      <c r="N59" s="100">
        <f xml:space="preserve"> _xlfn.IFNA( VLOOKUP( $C59, 'INPUTS│Performance Commitments'!$C$117:$I$135, MATCH( N$4, 'INPUTS│Performance Commitments'!$G$3:$I$3, 0 ) + 4, 0 ), "-" )</f>
        <v>0.25555555555555559</v>
      </c>
      <c r="O59" s="100" t="str">
        <f ca="1" xml:space="preserve"> IF( $D59 &gt; 1, OFFSET( 'INPUTS│Performance Commitments'!$F$117, MATCH( $C59, 'INPUTS│Performance Commitments'!$C$117:$C$135, 0 ), MATCH( $N$4, 'INPUTS│Performance Commitments'!$G$3:$I$3, 0 ) ), "-" )</f>
        <v>-</v>
      </c>
      <c r="P59" s="100">
        <f xml:space="preserve"> _xlfn.IFNA( VLOOKUP( $C59, 'INPUTS│Performance Commitments'!$C$95:$I$113, MATCH( P$4, 'INPUTS│Performance Commitments'!$G$3:$I$3, 0 ) + 4, 0 ), "-" )</f>
        <v>0.20833333333333334</v>
      </c>
      <c r="Q59" s="100" t="str">
        <f ca="1" xml:space="preserve"> IF( $D59 &gt; 1, OFFSET( 'INPUTS│Performance Commitments'!$F$95, MATCH( $C59, 'INPUTS│Performance Commitments'!$C$95:$C$113, 0 ), MATCH( $P$4, 'INPUTS│Performance Commitments'!$G$3:$I$3, 0 ) ), "-" )</f>
        <v>-</v>
      </c>
      <c r="R59" s="77" t="str">
        <f t="shared" si="17"/>
        <v>Failed</v>
      </c>
      <c r="S59" s="77" t="str">
        <f t="shared" ca="1" si="17"/>
        <v>-</v>
      </c>
      <c r="T59" s="238">
        <f ca="1" xml:space="preserve"> IF( P59 = "-", "-", COUNTIF( R59:S59, "Met" ) / $D59 )</f>
        <v>0</v>
      </c>
      <c r="U59" s="47"/>
      <c r="V59" s="229">
        <f xml:space="preserve"> _xlfn.IFNA( VLOOKUP( $C59, 'INPUTS│Performance Commitments'!$C$117:$L$135, MATCH( V$4, 'INPUTS│Performance Commitments'!$K$3:$L$3, 0 ) + 8, 0 ), "-" )</f>
        <v>6.1333333333333346</v>
      </c>
      <c r="W59" s="229" t="str">
        <f ca="1" xml:space="preserve"> IF( $D59 &gt; 1, OFFSET( 'INPUTS│Performance Commitments'!$J$117, MATCH( $C59, 'INPUTS│Performance Commitments'!$C$117:$C$135, 0 ), MATCH( $V$4, 'INPUTS│Performance Commitments'!$K$3:$L$3, 0 ) ), "-" )</f>
        <v>-</v>
      </c>
      <c r="X59" s="229">
        <f xml:space="preserve"> _xlfn.IFNA( VLOOKUP( $C59, 'INPUTS│Performance Commitments'!$C$95:$L$113, MATCH( X$4, 'INPUTS│Performance Commitments'!$K$3:$L$3, 0 ) + 8, 0 ), "-" )</f>
        <v>5</v>
      </c>
      <c r="Y59" s="229" t="str">
        <f ca="1" xml:space="preserve"> IF( $D59 &gt; 1, OFFSET( 'INPUTS│Performance Commitments'!$J$95, MATCH( $C59, 'INPUTS│Performance Commitments'!$C$95:$C$113, 0 ), MATCH( $X$4, 'INPUTS│Performance Commitments'!$K$3:$L$3, 0 ) ), "-" )</f>
        <v>-</v>
      </c>
    </row>
    <row r="60" spans="2:26" outlineLevel="1" x14ac:dyDescent="0.25">
      <c r="C60" s="8" t="s">
        <v>89</v>
      </c>
      <c r="D60" s="171">
        <f xml:space="preserve"> COUNTIF( 'INPUTS│Performance Commitments'!$C$95:$C$113, C60 )</f>
        <v>2</v>
      </c>
      <c r="F60" s="100">
        <f xml:space="preserve"> _xlfn.IFNA( VLOOKUP( $C60, 'INPUTS│Performance Commitments'!$C$117:$I$135, MATCH( F$4, 'INPUTS│Performance Commitments'!$G$3:$I$3, 0 ) + 4, 0 ), "-" )</f>
        <v>19.059999999999999</v>
      </c>
      <c r="G60" s="100">
        <f ca="1" xml:space="preserve"> IF( $D60 &gt; 1, OFFSET( 'INPUTS│Performance Commitments'!$F$117, MATCH( $C60, 'INPUTS│Performance Commitments'!$C$117:$C$135, 0 ), MATCH( $F$4, 'INPUTS│Performance Commitments'!$G$3:$I$3, 0 ) ), "-" )</f>
        <v>0.03</v>
      </c>
      <c r="H60" s="100">
        <f xml:space="preserve"> _xlfn.IFNA( VLOOKUP( $C60, 'INPUTS│Performance Commitments'!$C$95:$I$113, MATCH( H$4, 'INPUTS│Performance Commitments'!$G$3:$I$3, 0 ) + 4, 0 ), "-" )</f>
        <v>9.4</v>
      </c>
      <c r="I60" s="100">
        <f ca="1" xml:space="preserve"> IF( $D60 &gt; 1, OFFSET( 'INPUTS│Performance Commitments'!$F$95, MATCH( $C60, 'INPUTS│Performance Commitments'!$C$95:$C$113, 0 ), MATCH( $H$4, 'INPUTS│Performance Commitments'!$G$3:$I$3, 0 ) ), "-" )</f>
        <v>0.2</v>
      </c>
      <c r="J60" s="77" t="str">
        <f t="shared" si="16"/>
        <v>Failed</v>
      </c>
      <c r="K60" s="77" t="str">
        <f t="shared" ca="1" si="16"/>
        <v>Met</v>
      </c>
      <c r="L60" s="238">
        <f ca="1" xml:space="preserve"> IF( H60 = "-", "-", COUNTIF( J60:K60, "Met" ) / $D60 )</f>
        <v>0.5</v>
      </c>
      <c r="N60" s="100">
        <f xml:space="preserve"> _xlfn.IFNA( VLOOKUP( $C60, 'INPUTS│Performance Commitments'!$C$117:$I$135, MATCH( N$4, 'INPUTS│Performance Commitments'!$G$3:$I$3, 0 ) + 4, 0 ), "-" )</f>
        <v>7.3</v>
      </c>
      <c r="O60" s="100">
        <f ca="1" xml:space="preserve"> IF( $D60 &gt; 1, OFFSET( 'INPUTS│Performance Commitments'!$F$117, MATCH( $C60, 'INPUTS│Performance Commitments'!$C$117:$C$135, 0 ), MATCH( $N$4, 'INPUTS│Performance Commitments'!$G$3:$I$3, 0 ) ), "-" )</f>
        <v>0.06</v>
      </c>
      <c r="P60" s="100">
        <f xml:space="preserve"> _xlfn.IFNA( VLOOKUP( $C60, 'INPUTS│Performance Commitments'!$C$95:$I$113, MATCH( P$4, 'INPUTS│Performance Commitments'!$G$3:$I$3, 0 ) + 4, 0 ), "-" )</f>
        <v>8</v>
      </c>
      <c r="Q60" s="100">
        <f ca="1" xml:space="preserve"> IF( $D60 &gt; 1, OFFSET( 'INPUTS│Performance Commitments'!$F$95, MATCH( $C60, 'INPUTS│Performance Commitments'!$C$95:$C$113, 0 ), MATCH( $P$4, 'INPUTS│Performance Commitments'!$G$3:$I$3, 0 ) ), "-" )</f>
        <v>0.2</v>
      </c>
      <c r="R60" s="77" t="str">
        <f t="shared" si="17"/>
        <v>Met</v>
      </c>
      <c r="S60" s="77" t="str">
        <f t="shared" ca="1" si="17"/>
        <v>Met</v>
      </c>
      <c r="T60" s="238">
        <f ca="1" xml:space="preserve"> IF( P60 = "-", "-", COUNTIF( R60:S60, "Met" ) / $D60 )</f>
        <v>1</v>
      </c>
      <c r="U60" s="47"/>
      <c r="V60" s="229">
        <f xml:space="preserve"> _xlfn.IFNA( VLOOKUP( $C60, 'INPUTS│Performance Commitments'!$C$117:$L$135, MATCH( V$4, 'INPUTS│Performance Commitments'!$K$3:$L$3, 0 ) + 8, 0 ), "-" )</f>
        <v>7.3</v>
      </c>
      <c r="W60" s="229">
        <f ca="1" xml:space="preserve"> IF( $D60 &gt; 1, OFFSET( 'INPUTS│Performance Commitments'!$J$117, MATCH( $C60, 'INPUTS│Performance Commitments'!$C$117:$C$135, 0 ), MATCH( $V$4, 'INPUTS│Performance Commitments'!$K$3:$L$3, 0 ) ), "-" )</f>
        <v>3.5999999999999996</v>
      </c>
      <c r="X60" s="229">
        <f xml:space="preserve"> _xlfn.IFNA( VLOOKUP( $C60, 'INPUTS│Performance Commitments'!$C$95:$L$113, MATCH( X$4, 'INPUTS│Performance Commitments'!$K$3:$L$3, 0 ) + 8, 0 ), "-" )</f>
        <v>8</v>
      </c>
      <c r="Y60" s="229">
        <f ca="1" xml:space="preserve"> IF( $D60 &gt; 1, OFFSET( 'INPUTS│Performance Commitments'!$J$95, MATCH( $C60, 'INPUTS│Performance Commitments'!$C$95:$C$113, 0 ), MATCH( $X$4, 'INPUTS│Performance Commitments'!$K$3:$L$3, 0 ) ), "-" )</f>
        <v>12</v>
      </c>
    </row>
    <row r="61" spans="2:26" s="83" customFormat="1" outlineLevel="1" x14ac:dyDescent="0.25">
      <c r="C61" s="83" t="s">
        <v>91</v>
      </c>
      <c r="D61" s="85">
        <f xml:space="preserve"> SUM( D74, D75 )</f>
        <v>2</v>
      </c>
      <c r="F61" s="86">
        <f>F74</f>
        <v>0.161</v>
      </c>
      <c r="G61" s="86">
        <f>F75</f>
        <v>0.66</v>
      </c>
      <c r="H61" s="86">
        <f>H74</f>
        <v>0.214</v>
      </c>
      <c r="I61" s="86">
        <f>H75</f>
        <v>4.4000000000000004</v>
      </c>
      <c r="J61" s="86" t="str">
        <f>J74</f>
        <v>Met</v>
      </c>
      <c r="K61" s="86" t="str">
        <f>J75</f>
        <v>Met</v>
      </c>
      <c r="L61" s="238">
        <f ca="1" xml:space="preserve"> IF( OR( L74 = "-", L75 = "-" ), MAX( L74:L75 ), SUM( L74:L75 ) / 2 )</f>
        <v>1</v>
      </c>
      <c r="N61" s="86">
        <f>N74</f>
        <v>0.19</v>
      </c>
      <c r="O61" s="86">
        <f>N75</f>
        <v>3.2</v>
      </c>
      <c r="P61" s="86">
        <f>P74</f>
        <v>0.2</v>
      </c>
      <c r="Q61" s="86">
        <f>P75</f>
        <v>4.4000000000000004</v>
      </c>
      <c r="R61" s="86" t="str">
        <f>R74</f>
        <v>Met</v>
      </c>
      <c r="S61" s="86" t="str">
        <f>R75</f>
        <v>Met</v>
      </c>
      <c r="T61" s="238">
        <f ca="1" xml:space="preserve"> IF( OR( T74 = "-", T75 = "-" ), MAX( T74:T75 ), SUM( T74:T75 ) / 2 )</f>
        <v>1</v>
      </c>
      <c r="U61" s="91"/>
      <c r="V61" s="229">
        <f>V74</f>
        <v>11.4</v>
      </c>
      <c r="W61" s="229">
        <f>V75</f>
        <v>3.2</v>
      </c>
      <c r="X61" s="229">
        <f>X74</f>
        <v>12</v>
      </c>
      <c r="Y61" s="229">
        <f>X75</f>
        <v>4.4000000000000004</v>
      </c>
    </row>
    <row r="62" spans="2:26" outlineLevel="1" x14ac:dyDescent="0.25">
      <c r="C62" s="8" t="s">
        <v>94</v>
      </c>
      <c r="D62" s="171">
        <f xml:space="preserve"> COUNTIF( 'INPUTS│Performance Commitments'!$C$95:$C$113, C62 )</f>
        <v>1</v>
      </c>
      <c r="F62" s="100">
        <f xml:space="preserve"> _xlfn.IFNA( VLOOKUP( $C62, 'INPUTS│Performance Commitments'!$C$117:$I$135, MATCH( F$4, 'INPUTS│Performance Commitments'!$G$3:$I$3, 0 ) + 4, 0 ), "-" )</f>
        <v>7.38</v>
      </c>
      <c r="G62" s="100" t="str">
        <f ca="1" xml:space="preserve"> IF( $D62 &gt; 1, OFFSET( 'INPUTS│Performance Commitments'!$F$117, MATCH( $C62, 'INPUTS│Performance Commitments'!$C$117:$C$135, 0 ), MATCH( $F$4, 'INPUTS│Performance Commitments'!$G$3:$I$3, 0 ) ), "-" )</f>
        <v>-</v>
      </c>
      <c r="H62" s="100">
        <f xml:space="preserve"> _xlfn.IFNA( VLOOKUP( $C62, 'INPUTS│Performance Commitments'!$C$95:$I$113, MATCH( H$4, 'INPUTS│Performance Commitments'!$G$3:$I$3, 0 ) + 4, 0 ), "-" )</f>
        <v>9</v>
      </c>
      <c r="I62" s="100" t="str">
        <f ca="1" xml:space="preserve"> IF( $D62 &gt; 1, OFFSET( 'INPUTS│Performance Commitments'!$F$95, MATCH( $C62, 'INPUTS│Performance Commitments'!$C$95:$C$113, 0 ), MATCH( $H$4, 'INPUTS│Performance Commitments'!$G$3:$I$3, 0 ) ), "-" )</f>
        <v>-</v>
      </c>
      <c r="J62" s="77" t="str">
        <f t="shared" ref="J62:J71" si="18" xml:space="preserve"> IF( H62 &lt;&gt; "-", IF( F62 &lt;= H62, "Met", "Failed" ), "-" )</f>
        <v>Met</v>
      </c>
      <c r="K62" s="77" t="str">
        <f t="shared" ref="K62:K71" ca="1" si="19" xml:space="preserve"> IF( I62 &lt;&gt; "-", IF( G62 &lt;= I62, "Met", "Failed" ), "-" )</f>
        <v>-</v>
      </c>
      <c r="L62" s="238">
        <f t="shared" ref="L62:L72" ca="1" si="20" xml:space="preserve"> IF( H62 = "-", "-", COUNTIF( J62:K62, "Met" ) / $D62 )</f>
        <v>1</v>
      </c>
      <c r="N62" s="100">
        <f xml:space="preserve"> _xlfn.IFNA( VLOOKUP( $C62, 'INPUTS│Performance Commitments'!$C$117:$I$135, MATCH( N$4, 'INPUTS│Performance Commitments'!$G$3:$I$3, 0 ) + 4, 0 ), "-" )</f>
        <v>11.27</v>
      </c>
      <c r="O62" s="100" t="str">
        <f ca="1" xml:space="preserve"> IF( $D62 &gt; 1, OFFSET( 'INPUTS│Performance Commitments'!$F$117, MATCH( $C62, 'INPUTS│Performance Commitments'!$C$117:$C$135, 0 ), MATCH( $N$4, 'INPUTS│Performance Commitments'!$G$3:$I$3, 0 ) ), "-" )</f>
        <v>-</v>
      </c>
      <c r="P62" s="100">
        <f xml:space="preserve"> _xlfn.IFNA( VLOOKUP( $C62, 'INPUTS│Performance Commitments'!$C$95:$I$113, MATCH( P$4, 'INPUTS│Performance Commitments'!$G$3:$I$3, 0 ) + 4, 0 ), "-" )</f>
        <v>9</v>
      </c>
      <c r="Q62" s="100" t="str">
        <f ca="1" xml:space="preserve"> IF( $D62 &gt; 1, OFFSET( 'INPUTS│Performance Commitments'!$F$95, MATCH( $C62, 'INPUTS│Performance Commitments'!$C$95:$C$113, 0 ), MATCH( $P$4, 'INPUTS│Performance Commitments'!$G$3:$I$3, 0 ) ), "-" )</f>
        <v>-</v>
      </c>
      <c r="R62" s="77" t="str">
        <f t="shared" ref="R62:R71" si="21" xml:space="preserve"> IF( P62 &lt;&gt; "-", IF( N62 &lt;= P62, "Met", "Failed" ), "-" )</f>
        <v>Failed</v>
      </c>
      <c r="S62" s="77" t="str">
        <f t="shared" ref="S62:S71" ca="1" si="22" xml:space="preserve"> IF( Q62 &lt;&gt; "-", IF( O62 &lt;= Q62, "Met", "Failed" ), "-" )</f>
        <v>-</v>
      </c>
      <c r="T62" s="238">
        <f t="shared" ref="T62:T72" ca="1" si="23" xml:space="preserve"> IF( P62 = "-", "-", COUNTIF( R62:S62, "Met" ) / $D62 )</f>
        <v>0</v>
      </c>
      <c r="U62" s="47"/>
      <c r="V62" s="229">
        <f xml:space="preserve"> _xlfn.IFNA( VLOOKUP( $C62, 'INPUTS│Performance Commitments'!$C$117:$L$135, MATCH( V$4, 'INPUTS│Performance Commitments'!$K$3:$L$3, 0 ) + 8, 0 ), "-" )</f>
        <v>11.27</v>
      </c>
      <c r="W62" s="229" t="str">
        <f ca="1" xml:space="preserve"> IF( $D62 &gt; 1, OFFSET( 'INPUTS│Performance Commitments'!$J$117, MATCH( $C62, 'INPUTS│Performance Commitments'!$C$117:$C$135, 0 ), MATCH( $V$4, 'INPUTS│Performance Commitments'!$K$3:$L$3, 0 ) ), "-" )</f>
        <v>-</v>
      </c>
      <c r="X62" s="229">
        <f xml:space="preserve"> _xlfn.IFNA( VLOOKUP( $C62, 'INPUTS│Performance Commitments'!$C$95:$L$113, MATCH( X$4, 'INPUTS│Performance Commitments'!$K$3:$L$3, 0 ) + 8, 0 ), "-" )</f>
        <v>9</v>
      </c>
      <c r="Y62" s="229" t="str">
        <f ca="1" xml:space="preserve"> IF( $D62 &gt; 1, OFFSET( 'INPUTS│Performance Commitments'!$J$95, MATCH( $C62, 'INPUTS│Performance Commitments'!$C$95:$C$113, 0 ), MATCH( $X$4, 'INPUTS│Performance Commitments'!$K$3:$L$3, 0 ) ), "-" )</f>
        <v>-</v>
      </c>
    </row>
    <row r="63" spans="2:26" outlineLevel="1" x14ac:dyDescent="0.25">
      <c r="C63" s="8" t="s">
        <v>96</v>
      </c>
      <c r="D63" s="171">
        <f xml:space="preserve"> COUNTIF( 'INPUTS│Performance Commitments'!$C$95:$C$113, C63 )</f>
        <v>1</v>
      </c>
      <c r="F63" s="100">
        <f xml:space="preserve"> _xlfn.IFNA( VLOOKUP( $C63, 'INPUTS│Performance Commitments'!$C$117:$I$135, MATCH( F$4, 'INPUTS│Performance Commitments'!$G$3:$I$3, 0 ) + 4, 0 ), "-" )</f>
        <v>0.26</v>
      </c>
      <c r="G63" s="100" t="str">
        <f ca="1" xml:space="preserve"> IF( $D63 &gt; 1, OFFSET( 'INPUTS│Performance Commitments'!$F$117, MATCH( $C63, 'INPUTS│Performance Commitments'!$C$117:$C$135, 0 ), MATCH( $F$4, 'INPUTS│Performance Commitments'!$G$3:$I$3, 0 ) ), "-" )</f>
        <v>-</v>
      </c>
      <c r="H63" s="100">
        <f xml:space="preserve"> _xlfn.IFNA( VLOOKUP( $C63, 'INPUTS│Performance Commitments'!$C$95:$I$113, MATCH( H$4, 'INPUTS│Performance Commitments'!$G$3:$I$3, 0 ) + 4, 0 ), "-" )</f>
        <v>0.13</v>
      </c>
      <c r="I63" s="100" t="str">
        <f ca="1" xml:space="preserve"> IF( $D63 &gt; 1, OFFSET( 'INPUTS│Performance Commitments'!$F$95, MATCH( $C63, 'INPUTS│Performance Commitments'!$C$95:$C$113, 0 ), MATCH( $H$4, 'INPUTS│Performance Commitments'!$G$3:$I$3, 0 ) ), "-" )</f>
        <v>-</v>
      </c>
      <c r="J63" s="77" t="str">
        <f t="shared" si="18"/>
        <v>Failed</v>
      </c>
      <c r="K63" s="77" t="str">
        <f t="shared" ca="1" si="19"/>
        <v>-</v>
      </c>
      <c r="L63" s="238">
        <f t="shared" ca="1" si="20"/>
        <v>0</v>
      </c>
      <c r="N63" s="100">
        <f xml:space="preserve"> _xlfn.IFNA( VLOOKUP( $C63, 'INPUTS│Performance Commitments'!$C$117:$I$135, MATCH( N$4, 'INPUTS│Performance Commitments'!$G$3:$I$3, 0 ) + 4, 0 ), "-" )</f>
        <v>0.12</v>
      </c>
      <c r="O63" s="100" t="str">
        <f ca="1" xml:space="preserve"> IF( $D63 &gt; 1, OFFSET( 'INPUTS│Performance Commitments'!$F$117, MATCH( $C63, 'INPUTS│Performance Commitments'!$C$117:$C$135, 0 ), MATCH( $N$4, 'INPUTS│Performance Commitments'!$G$3:$I$3, 0 ) ), "-" )</f>
        <v>-</v>
      </c>
      <c r="P63" s="100">
        <f xml:space="preserve"> _xlfn.IFNA( VLOOKUP( $C63, 'INPUTS│Performance Commitments'!$C$95:$I$113, MATCH( P$4, 'INPUTS│Performance Commitments'!$G$3:$I$3, 0 ) + 4, 0 ), "-" )</f>
        <v>0.13</v>
      </c>
      <c r="Q63" s="100" t="str">
        <f ca="1" xml:space="preserve"> IF( $D63 &gt; 1, OFFSET( 'INPUTS│Performance Commitments'!$F$95, MATCH( $C63, 'INPUTS│Performance Commitments'!$C$95:$C$113, 0 ), MATCH( $P$4, 'INPUTS│Performance Commitments'!$G$3:$I$3, 0 ) ), "-" )</f>
        <v>-</v>
      </c>
      <c r="R63" s="77" t="str">
        <f t="shared" si="21"/>
        <v>Met</v>
      </c>
      <c r="S63" s="77" t="str">
        <f t="shared" ca="1" si="22"/>
        <v>-</v>
      </c>
      <c r="T63" s="238">
        <f t="shared" ca="1" si="23"/>
        <v>1</v>
      </c>
      <c r="U63" s="47"/>
      <c r="V63" s="229">
        <f xml:space="preserve"> _xlfn.IFNA( VLOOKUP( $C63, 'INPUTS│Performance Commitments'!$C$117:$L$135, MATCH( V$4, 'INPUTS│Performance Commitments'!$K$3:$L$3, 0 ) + 8, 0 ), "-" )</f>
        <v>7.1999999999999993</v>
      </c>
      <c r="W63" s="229" t="str">
        <f ca="1" xml:space="preserve"> IF( $D63 &gt; 1, OFFSET( 'INPUTS│Performance Commitments'!$J$117, MATCH( $C63, 'INPUTS│Performance Commitments'!$C$117:$C$135, 0 ), MATCH( $V$4, 'INPUTS│Performance Commitments'!$K$3:$L$3, 0 ) ), "-" )</f>
        <v>-</v>
      </c>
      <c r="X63" s="229">
        <f xml:space="preserve"> _xlfn.IFNA( VLOOKUP( $C63, 'INPUTS│Performance Commitments'!$C$95:$L$113, MATCH( X$4, 'INPUTS│Performance Commitments'!$K$3:$L$3, 0 ) + 8, 0 ), "-" )</f>
        <v>7.8000000000000007</v>
      </c>
      <c r="Y63" s="229" t="str">
        <f ca="1" xml:space="preserve"> IF( $D63 &gt; 1, OFFSET( 'INPUTS│Performance Commitments'!$J$95, MATCH( $C63, 'INPUTS│Performance Commitments'!$C$95:$C$113, 0 ), MATCH( $X$4, 'INPUTS│Performance Commitments'!$K$3:$L$3, 0 ) ), "-" )</f>
        <v>-</v>
      </c>
    </row>
    <row r="64" spans="2:26" outlineLevel="1" x14ac:dyDescent="0.25">
      <c r="C64" s="8" t="s">
        <v>98</v>
      </c>
      <c r="D64" s="171">
        <f xml:space="preserve"> COUNTIF( 'INPUTS│Performance Commitments'!$C$95:$C$113, C64 )</f>
        <v>1</v>
      </c>
      <c r="F64" s="100">
        <f xml:space="preserve"> _xlfn.IFNA( VLOOKUP( $C64, 'INPUTS│Performance Commitments'!$C$117:$I$135, MATCH( F$4, 'INPUTS│Performance Commitments'!$G$3:$I$3, 0 ) + 4, 0 ), "-" )</f>
        <v>0.38194444444444442</v>
      </c>
      <c r="G64" s="100" t="str">
        <f ca="1" xml:space="preserve"> IF( $D64 &gt; 1, OFFSET( 'INPUTS│Performance Commitments'!$F$117, MATCH( $C64, 'INPUTS│Performance Commitments'!$C$117:$C$135, 0 ), MATCH( $F$4, 'INPUTS│Performance Commitments'!$G$3:$I$3, 0 ) ), "-" )</f>
        <v>-</v>
      </c>
      <c r="H64" s="100">
        <f xml:space="preserve"> _xlfn.IFNA( VLOOKUP( $C64, 'INPUTS│Performance Commitments'!$C$95:$I$113, MATCH( H$4, 'INPUTS│Performance Commitments'!$G$3:$I$3, 0 ) + 4, 0 ), "-" )</f>
        <v>0.5</v>
      </c>
      <c r="I64" s="100" t="str">
        <f ca="1" xml:space="preserve"> IF( $D64 &gt; 1, OFFSET( 'INPUTS│Performance Commitments'!$F$95, MATCH( $C64, 'INPUTS│Performance Commitments'!$C$95:$C$113, 0 ), MATCH( $H$4, 'INPUTS│Performance Commitments'!$G$3:$I$3, 0 ) ), "-" )</f>
        <v>-</v>
      </c>
      <c r="J64" s="77" t="str">
        <f t="shared" si="18"/>
        <v>Met</v>
      </c>
      <c r="K64" s="77" t="str">
        <f t="shared" ca="1" si="19"/>
        <v>-</v>
      </c>
      <c r="L64" s="238">
        <f t="shared" ca="1" si="20"/>
        <v>1</v>
      </c>
      <c r="N64" s="100">
        <f xml:space="preserve"> _xlfn.IFNA( VLOOKUP( $C64, 'INPUTS│Performance Commitments'!$C$117:$I$135, MATCH( N$4, 'INPUTS│Performance Commitments'!$G$3:$I$3, 0 ) + 4, 0 ), "-" )</f>
        <v>0.42430555555555555</v>
      </c>
      <c r="O64" s="100" t="str">
        <f ca="1" xml:space="preserve"> IF( $D64 &gt; 1, OFFSET( 'INPUTS│Performance Commitments'!$F$117, MATCH( $C64, 'INPUTS│Performance Commitments'!$C$117:$C$135, 0 ), MATCH( $N$4, 'INPUTS│Performance Commitments'!$G$3:$I$3, 0 ) ), "-" )</f>
        <v>-</v>
      </c>
      <c r="P64" s="100">
        <f xml:space="preserve"> _xlfn.IFNA( VLOOKUP( $C64, 'INPUTS│Performance Commitments'!$C$95:$I$113, MATCH( P$4, 'INPUTS│Performance Commitments'!$G$3:$I$3, 0 ) + 4, 0 ), "-" )</f>
        <v>0.5</v>
      </c>
      <c r="Q64" s="100" t="str">
        <f ca="1" xml:space="preserve"> IF( $D64 &gt; 1, OFFSET( 'INPUTS│Performance Commitments'!$F$95, MATCH( $C64, 'INPUTS│Performance Commitments'!$C$95:$C$113, 0 ), MATCH( $P$4, 'INPUTS│Performance Commitments'!$G$3:$I$3, 0 ) ), "-" )</f>
        <v>-</v>
      </c>
      <c r="R64" s="77" t="str">
        <f t="shared" si="21"/>
        <v>Met</v>
      </c>
      <c r="S64" s="77" t="str">
        <f t="shared" ca="1" si="22"/>
        <v>-</v>
      </c>
      <c r="T64" s="238">
        <f t="shared" ca="1" si="23"/>
        <v>1</v>
      </c>
      <c r="U64" s="47"/>
      <c r="V64" s="229">
        <f xml:space="preserve"> _xlfn.IFNA( VLOOKUP( $C64, 'INPUTS│Performance Commitments'!$C$117:$L$135, MATCH( V$4, 'INPUTS│Performance Commitments'!$K$3:$L$3, 0 ) + 8, 0 ), "-" )</f>
        <v>10.183333333333334</v>
      </c>
      <c r="W64" s="229" t="str">
        <f ca="1" xml:space="preserve"> IF( $D64 &gt; 1, OFFSET( 'INPUTS│Performance Commitments'!$J$117, MATCH( $C64, 'INPUTS│Performance Commitments'!$C$117:$C$135, 0 ), MATCH( $V$4, 'INPUTS│Performance Commitments'!$K$3:$L$3, 0 ) ), "-" )</f>
        <v>-</v>
      </c>
      <c r="X64" s="229">
        <f xml:space="preserve"> _xlfn.IFNA( VLOOKUP( $C64, 'INPUTS│Performance Commitments'!$C$95:$L$113, MATCH( X$4, 'INPUTS│Performance Commitments'!$K$3:$L$3, 0 ) + 8, 0 ), "-" )</f>
        <v>12</v>
      </c>
      <c r="Y64" s="229" t="str">
        <f ca="1" xml:space="preserve"> IF( $D64 &gt; 1, OFFSET( 'INPUTS│Performance Commitments'!$J$95, MATCH( $C64, 'INPUTS│Performance Commitments'!$C$95:$C$113, 0 ), MATCH( $X$4, 'INPUTS│Performance Commitments'!$K$3:$L$3, 0 ) ), "-" )</f>
        <v>-</v>
      </c>
    </row>
    <row r="65" spans="2:26" outlineLevel="1" x14ac:dyDescent="0.25">
      <c r="C65" s="8" t="s">
        <v>100</v>
      </c>
      <c r="D65" s="171">
        <f xml:space="preserve"> COUNTIF( 'INPUTS│Performance Commitments'!$C$95:$C$113, C65 )</f>
        <v>1</v>
      </c>
      <c r="F65" s="100">
        <f xml:space="preserve"> _xlfn.IFNA( VLOOKUP( $C65, 'INPUTS│Performance Commitments'!$C$117:$I$135, MATCH( F$4, 'INPUTS│Performance Commitments'!$G$3:$I$3, 0 ) + 4, 0 ), "-" )</f>
        <v>5.85</v>
      </c>
      <c r="G65" s="100" t="str">
        <f ca="1" xml:space="preserve"> IF( $D65 &gt; 1, OFFSET( 'INPUTS│Performance Commitments'!$F$117, MATCH( $C65, 'INPUTS│Performance Commitments'!$C$117:$C$135, 0 ), MATCH( $F$4, 'INPUTS│Performance Commitments'!$G$3:$I$3, 0 ) ), "-" )</f>
        <v>-</v>
      </c>
      <c r="H65" s="100">
        <f xml:space="preserve"> _xlfn.IFNA( VLOOKUP( $C65, 'INPUTS│Performance Commitments'!$C$95:$I$113, MATCH( H$4, 'INPUTS│Performance Commitments'!$G$3:$I$3, 0 ) + 4, 0 ), "-" )</f>
        <v>12</v>
      </c>
      <c r="I65" s="100" t="str">
        <f ca="1" xml:space="preserve"> IF( $D65 &gt; 1, OFFSET( 'INPUTS│Performance Commitments'!$F$95, MATCH( $C65, 'INPUTS│Performance Commitments'!$C$95:$C$113, 0 ), MATCH( $H$4, 'INPUTS│Performance Commitments'!$G$3:$I$3, 0 ) ), "-" )</f>
        <v>-</v>
      </c>
      <c r="J65" s="77" t="str">
        <f t="shared" si="18"/>
        <v>Met</v>
      </c>
      <c r="K65" s="77" t="str">
        <f t="shared" ca="1" si="19"/>
        <v>-</v>
      </c>
      <c r="L65" s="238">
        <f t="shared" ca="1" si="20"/>
        <v>1</v>
      </c>
      <c r="N65" s="100">
        <f xml:space="preserve"> _xlfn.IFNA( VLOOKUP( $C65, 'INPUTS│Performance Commitments'!$C$117:$I$135, MATCH( N$4, 'INPUTS│Performance Commitments'!$G$3:$I$3, 0 ) + 4, 0 ), "-" )</f>
        <v>7.6</v>
      </c>
      <c r="O65" s="100" t="str">
        <f ca="1" xml:space="preserve"> IF( $D65 &gt; 1, OFFSET( 'INPUTS│Performance Commitments'!$F$117, MATCH( $C65, 'INPUTS│Performance Commitments'!$C$117:$C$135, 0 ), MATCH( $N$4, 'INPUTS│Performance Commitments'!$G$3:$I$3, 0 ) ), "-" )</f>
        <v>-</v>
      </c>
      <c r="P65" s="100">
        <f xml:space="preserve"> _xlfn.IFNA( VLOOKUP( $C65, 'INPUTS│Performance Commitments'!$C$95:$I$113, MATCH( P$4, 'INPUTS│Performance Commitments'!$G$3:$I$3, 0 ) + 4, 0 ), "-" )</f>
        <v>12</v>
      </c>
      <c r="Q65" s="100" t="str">
        <f ca="1" xml:space="preserve"> IF( $D65 &gt; 1, OFFSET( 'INPUTS│Performance Commitments'!$F$95, MATCH( $C65, 'INPUTS│Performance Commitments'!$C$95:$C$113, 0 ), MATCH( $P$4, 'INPUTS│Performance Commitments'!$G$3:$I$3, 0 ) ), "-" )</f>
        <v>-</v>
      </c>
      <c r="R65" s="77" t="str">
        <f t="shared" si="21"/>
        <v>Met</v>
      </c>
      <c r="S65" s="77" t="str">
        <f t="shared" ca="1" si="22"/>
        <v>-</v>
      </c>
      <c r="T65" s="238">
        <f t="shared" ca="1" si="23"/>
        <v>1</v>
      </c>
      <c r="U65" s="47"/>
      <c r="V65" s="229">
        <f xml:space="preserve"> _xlfn.IFNA( VLOOKUP( $C65, 'INPUTS│Performance Commitments'!$C$117:$L$135, MATCH( V$4, 'INPUTS│Performance Commitments'!$K$3:$L$3, 0 ) + 8, 0 ), "-" )</f>
        <v>7.6</v>
      </c>
      <c r="W65" s="229" t="str">
        <f ca="1" xml:space="preserve"> IF( $D65 &gt; 1, OFFSET( 'INPUTS│Performance Commitments'!$J$117, MATCH( $C65, 'INPUTS│Performance Commitments'!$C$117:$C$135, 0 ), MATCH( $V$4, 'INPUTS│Performance Commitments'!$K$3:$L$3, 0 ) ), "-" )</f>
        <v>-</v>
      </c>
      <c r="X65" s="229">
        <f xml:space="preserve"> _xlfn.IFNA( VLOOKUP( $C65, 'INPUTS│Performance Commitments'!$C$95:$L$113, MATCH( X$4, 'INPUTS│Performance Commitments'!$K$3:$L$3, 0 ) + 8, 0 ), "-" )</f>
        <v>12</v>
      </c>
      <c r="Y65" s="229" t="str">
        <f ca="1" xml:space="preserve"> IF( $D65 &gt; 1, OFFSET( 'INPUTS│Performance Commitments'!$J$95, MATCH( $C65, 'INPUTS│Performance Commitments'!$C$95:$C$113, 0 ), MATCH( $X$4, 'INPUTS│Performance Commitments'!$K$3:$L$3, 0 ) ), "-" )</f>
        <v>-</v>
      </c>
    </row>
    <row r="66" spans="2:26" outlineLevel="1" x14ac:dyDescent="0.25">
      <c r="C66" s="8" t="s">
        <v>102</v>
      </c>
      <c r="D66" s="171">
        <f xml:space="preserve"> COUNTIF( 'INPUTS│Performance Commitments'!$C$95:$C$113, C66 )</f>
        <v>1</v>
      </c>
      <c r="F66" s="100">
        <f xml:space="preserve"> _xlfn.IFNA( VLOOKUP( $C66, 'INPUTS│Performance Commitments'!$C$117:$I$135, MATCH( F$4, 'INPUTS│Performance Commitments'!$G$3:$I$3, 0 ) + 4, 0 ), "-" )</f>
        <v>10.46</v>
      </c>
      <c r="G66" s="100" t="str">
        <f ca="1" xml:space="preserve"> IF( $D66 &gt; 1, OFFSET( 'INPUTS│Performance Commitments'!$F$117, MATCH( $C66, 'INPUTS│Performance Commitments'!$C$117:$C$135, 0 ), MATCH( $F$4, 'INPUTS│Performance Commitments'!$G$3:$I$3, 0 ) ), "-" )</f>
        <v>-</v>
      </c>
      <c r="H66" s="100">
        <f xml:space="preserve"> _xlfn.IFNA( VLOOKUP( $C66, 'INPUTS│Performance Commitments'!$C$95:$I$113, MATCH( H$4, 'INPUTS│Performance Commitments'!$G$3:$I$3, 0 ) + 4, 0 ), "-" )</f>
        <v>12</v>
      </c>
      <c r="I66" s="100" t="str">
        <f ca="1" xml:space="preserve"> IF( $D66 &gt; 1, OFFSET( 'INPUTS│Performance Commitments'!$F$95, MATCH( $C66, 'INPUTS│Performance Commitments'!$C$95:$C$113, 0 ), MATCH( $H$4, 'INPUTS│Performance Commitments'!$G$3:$I$3, 0 ) ), "-" )</f>
        <v>-</v>
      </c>
      <c r="J66" s="77" t="str">
        <f t="shared" si="18"/>
        <v>Met</v>
      </c>
      <c r="K66" s="77" t="str">
        <f t="shared" ca="1" si="19"/>
        <v>-</v>
      </c>
      <c r="L66" s="238">
        <f t="shared" ca="1" si="20"/>
        <v>1</v>
      </c>
      <c r="N66" s="100">
        <f xml:space="preserve"> _xlfn.IFNA( VLOOKUP( $C66, 'INPUTS│Performance Commitments'!$C$117:$I$135, MATCH( N$4, 'INPUTS│Performance Commitments'!$G$3:$I$3, 0 ) + 4, 0 ), "-" )</f>
        <v>7.56</v>
      </c>
      <c r="O66" s="100" t="str">
        <f ca="1" xml:space="preserve"> IF( $D66 &gt; 1, OFFSET( 'INPUTS│Performance Commitments'!$F$117, MATCH( $C66, 'INPUTS│Performance Commitments'!$C$117:$C$135, 0 ), MATCH( $N$4, 'INPUTS│Performance Commitments'!$G$3:$I$3, 0 ) ), "-" )</f>
        <v>-</v>
      </c>
      <c r="P66" s="100">
        <f xml:space="preserve"> _xlfn.IFNA( VLOOKUP( $C66, 'INPUTS│Performance Commitments'!$C$95:$I$113, MATCH( P$4, 'INPUTS│Performance Commitments'!$G$3:$I$3, 0 ) + 4, 0 ), "-" )</f>
        <v>12</v>
      </c>
      <c r="Q66" s="100" t="str">
        <f ca="1" xml:space="preserve"> IF( $D66 &gt; 1, OFFSET( 'INPUTS│Performance Commitments'!$F$95, MATCH( $C66, 'INPUTS│Performance Commitments'!$C$95:$C$113, 0 ), MATCH( $P$4, 'INPUTS│Performance Commitments'!$G$3:$I$3, 0 ) ), "-" )</f>
        <v>-</v>
      </c>
      <c r="R66" s="77" t="str">
        <f t="shared" si="21"/>
        <v>Met</v>
      </c>
      <c r="S66" s="77" t="str">
        <f t="shared" ca="1" si="22"/>
        <v>-</v>
      </c>
      <c r="T66" s="238">
        <f t="shared" ca="1" si="23"/>
        <v>1</v>
      </c>
      <c r="U66" s="47"/>
      <c r="V66" s="229">
        <f xml:space="preserve"> _xlfn.IFNA( VLOOKUP( $C66, 'INPUTS│Performance Commitments'!$C$117:$L$135, MATCH( V$4, 'INPUTS│Performance Commitments'!$K$3:$L$3, 0 ) + 8, 0 ), "-" )</f>
        <v>7.56</v>
      </c>
      <c r="W66" s="229" t="str">
        <f ca="1" xml:space="preserve"> IF( $D66 &gt; 1, OFFSET( 'INPUTS│Performance Commitments'!$J$117, MATCH( $C66, 'INPUTS│Performance Commitments'!$C$117:$C$135, 0 ), MATCH( $V$4, 'INPUTS│Performance Commitments'!$K$3:$L$3, 0 ) ), "-" )</f>
        <v>-</v>
      </c>
      <c r="X66" s="229">
        <f xml:space="preserve"> _xlfn.IFNA( VLOOKUP( $C66, 'INPUTS│Performance Commitments'!$C$95:$L$113, MATCH( X$4, 'INPUTS│Performance Commitments'!$K$3:$L$3, 0 ) + 8, 0 ), "-" )</f>
        <v>12</v>
      </c>
      <c r="Y66" s="229" t="str">
        <f ca="1" xml:space="preserve"> IF( $D66 &gt; 1, OFFSET( 'INPUTS│Performance Commitments'!$J$95, MATCH( $C66, 'INPUTS│Performance Commitments'!$C$95:$C$113, 0 ), MATCH( $X$4, 'INPUTS│Performance Commitments'!$K$3:$L$3, 0 ) ), "-" )</f>
        <v>-</v>
      </c>
    </row>
    <row r="67" spans="2:26" outlineLevel="1" x14ac:dyDescent="0.25">
      <c r="C67" s="8" t="s">
        <v>104</v>
      </c>
      <c r="D67" s="171">
        <f xml:space="preserve"> COUNTIF( 'INPUTS│Performance Commitments'!$C$95:$C$113, C67 )</f>
        <v>0</v>
      </c>
      <c r="F67" s="100" t="str">
        <f xml:space="preserve"> _xlfn.IFNA( VLOOKUP( $C67, 'INPUTS│Performance Commitments'!$C$117:$I$135, MATCH( F$4, 'INPUTS│Performance Commitments'!$G$3:$I$3, 0 ) + 4, 0 ), "-" )</f>
        <v>-</v>
      </c>
      <c r="G67" s="100" t="str">
        <f ca="1" xml:space="preserve"> IF( $D67 &gt; 1, OFFSET( 'INPUTS│Performance Commitments'!$F$117, MATCH( $C67, 'INPUTS│Performance Commitments'!$C$117:$C$135, 0 ), MATCH( $F$4, 'INPUTS│Performance Commitments'!$G$3:$I$3, 0 ) ), "-" )</f>
        <v>-</v>
      </c>
      <c r="H67" s="100" t="str">
        <f xml:space="preserve"> _xlfn.IFNA( VLOOKUP( $C67, 'INPUTS│Performance Commitments'!$C$95:$I$113, MATCH( H$4, 'INPUTS│Performance Commitments'!$G$3:$I$3, 0 ) + 4, 0 ), "-" )</f>
        <v>-</v>
      </c>
      <c r="I67" s="100" t="str">
        <f ca="1" xml:space="preserve"> IF( $D67 &gt; 1, OFFSET( 'INPUTS│Performance Commitments'!$F$95, MATCH( $C67, 'INPUTS│Performance Commitments'!$C$95:$C$113, 0 ), MATCH( $H$4, 'INPUTS│Performance Commitments'!$G$3:$I$3, 0 ) ), "-" )</f>
        <v>-</v>
      </c>
      <c r="J67" s="77" t="str">
        <f t="shared" si="18"/>
        <v>-</v>
      </c>
      <c r="K67" s="77" t="str">
        <f t="shared" ca="1" si="19"/>
        <v>-</v>
      </c>
      <c r="L67" s="238" t="str">
        <f t="shared" si="20"/>
        <v>-</v>
      </c>
      <c r="N67" s="100" t="str">
        <f xml:space="preserve"> _xlfn.IFNA( VLOOKUP( $C67, 'INPUTS│Performance Commitments'!$C$117:$I$135, MATCH( N$4, 'INPUTS│Performance Commitments'!$G$3:$I$3, 0 ) + 4, 0 ), "-" )</f>
        <v>-</v>
      </c>
      <c r="O67" s="100" t="str">
        <f ca="1" xml:space="preserve"> IF( $D67 &gt; 1, OFFSET( 'INPUTS│Performance Commitments'!$F$117, MATCH( $C67, 'INPUTS│Performance Commitments'!$C$117:$C$135, 0 ), MATCH( $N$4, 'INPUTS│Performance Commitments'!$G$3:$I$3, 0 ) ), "-" )</f>
        <v>-</v>
      </c>
      <c r="P67" s="100" t="str">
        <f xml:space="preserve"> _xlfn.IFNA( VLOOKUP( $C67, 'INPUTS│Performance Commitments'!$C$95:$I$113, MATCH( P$4, 'INPUTS│Performance Commitments'!$G$3:$I$3, 0 ) + 4, 0 ), "-" )</f>
        <v>-</v>
      </c>
      <c r="Q67" s="100" t="str">
        <f ca="1" xml:space="preserve"> IF( $D67 &gt; 1, OFFSET( 'INPUTS│Performance Commitments'!$F$95, MATCH( $C67, 'INPUTS│Performance Commitments'!$C$95:$C$113, 0 ), MATCH( $P$4, 'INPUTS│Performance Commitments'!$G$3:$I$3, 0 ) ), "-" )</f>
        <v>-</v>
      </c>
      <c r="R67" s="77" t="str">
        <f t="shared" si="21"/>
        <v>-</v>
      </c>
      <c r="S67" s="77" t="str">
        <f t="shared" ca="1" si="22"/>
        <v>-</v>
      </c>
      <c r="T67" s="238" t="str">
        <f t="shared" si="23"/>
        <v>-</v>
      </c>
      <c r="U67" s="47"/>
      <c r="V67" s="229" t="str">
        <f xml:space="preserve"> _xlfn.IFNA( VLOOKUP( $C67, 'INPUTS│Performance Commitments'!$C$117:$L$135, MATCH( V$4, 'INPUTS│Performance Commitments'!$K$3:$L$3, 0 ) + 8, 0 ), "-" )</f>
        <v>-</v>
      </c>
      <c r="W67" s="229" t="str">
        <f ca="1" xml:space="preserve"> IF( $D67 &gt; 1, OFFSET( 'INPUTS│Performance Commitments'!$J$117, MATCH( $C67, 'INPUTS│Performance Commitments'!$C$117:$C$135, 0 ), MATCH( $V$4, 'INPUTS│Performance Commitments'!$K$3:$L$3, 0 ) ), "-" )</f>
        <v>-</v>
      </c>
      <c r="X67" s="229" t="str">
        <f xml:space="preserve"> _xlfn.IFNA( VLOOKUP( $C67, 'INPUTS│Performance Commitments'!$C$95:$L$113, MATCH( X$4, 'INPUTS│Performance Commitments'!$K$3:$L$3, 0 ) + 8, 0 ), "-" )</f>
        <v>-</v>
      </c>
      <c r="Y67" s="229" t="str">
        <f ca="1" xml:space="preserve"> IF( $D67 &gt; 1, OFFSET( 'INPUTS│Performance Commitments'!$J$95, MATCH( $C67, 'INPUTS│Performance Commitments'!$C$95:$C$113, 0 ), MATCH( $X$4, 'INPUTS│Performance Commitments'!$K$3:$L$3, 0 ) ), "-" )</f>
        <v>-</v>
      </c>
    </row>
    <row r="68" spans="2:26" outlineLevel="1" x14ac:dyDescent="0.25">
      <c r="C68" s="8" t="s">
        <v>106</v>
      </c>
      <c r="D68" s="171">
        <f xml:space="preserve"> COUNTIF( 'INPUTS│Performance Commitments'!$C$95:$C$113, C68 )</f>
        <v>1</v>
      </c>
      <c r="F68" s="100">
        <f xml:space="preserve"> _xlfn.IFNA( VLOOKUP( $C68, 'INPUTS│Performance Commitments'!$C$117:$I$135, MATCH( F$4, 'INPUTS│Performance Commitments'!$G$3:$I$3, 0 ) + 4, 0 ), "-" )</f>
        <v>14.67</v>
      </c>
      <c r="G68" s="100" t="str">
        <f ca="1" xml:space="preserve"> IF( $D68 &gt; 1, OFFSET( 'INPUTS│Performance Commitments'!$F$117, MATCH( $C68, 'INPUTS│Performance Commitments'!$C$117:$C$135, 0 ), MATCH( $F$4, 'INPUTS│Performance Commitments'!$G$3:$I$3, 0 ) ), "-" )</f>
        <v>-</v>
      </c>
      <c r="H68" s="100">
        <f xml:space="preserve"> _xlfn.IFNA( VLOOKUP( $C68, 'INPUTS│Performance Commitments'!$C$95:$I$113, MATCH( H$4, 'INPUTS│Performance Commitments'!$G$3:$I$3, 0 ) + 4, 0 ), "-" )</f>
        <v>12.5</v>
      </c>
      <c r="I68" s="100" t="str">
        <f ca="1" xml:space="preserve"> IF( $D68 &gt; 1, OFFSET( 'INPUTS│Performance Commitments'!$F$95, MATCH( $C68, 'INPUTS│Performance Commitments'!$C$95:$C$113, 0 ), MATCH( $H$4, 'INPUTS│Performance Commitments'!$G$3:$I$3, 0 ) ), "-" )</f>
        <v>-</v>
      </c>
      <c r="J68" s="77" t="str">
        <f t="shared" si="18"/>
        <v>Failed</v>
      </c>
      <c r="K68" s="77" t="str">
        <f t="shared" ca="1" si="19"/>
        <v>-</v>
      </c>
      <c r="L68" s="238">
        <f t="shared" ca="1" si="20"/>
        <v>0</v>
      </c>
      <c r="N68" s="100">
        <f xml:space="preserve"> _xlfn.IFNA( VLOOKUP( $C68, 'INPUTS│Performance Commitments'!$C$117:$I$135, MATCH( N$4, 'INPUTS│Performance Commitments'!$G$3:$I$3, 0 ) + 4, 0 ), "-" )</f>
        <v>11.1</v>
      </c>
      <c r="O68" s="100" t="str">
        <f ca="1" xml:space="preserve"> IF( $D68 &gt; 1, OFFSET( 'INPUTS│Performance Commitments'!$F$117, MATCH( $C68, 'INPUTS│Performance Commitments'!$C$117:$C$135, 0 ), MATCH( $N$4, 'INPUTS│Performance Commitments'!$G$3:$I$3, 0 ) ), "-" )</f>
        <v>-</v>
      </c>
      <c r="P68" s="100">
        <f xml:space="preserve"> _xlfn.IFNA( VLOOKUP( $C68, 'INPUTS│Performance Commitments'!$C$95:$I$113, MATCH( P$4, 'INPUTS│Performance Commitments'!$G$3:$I$3, 0 ) + 4, 0 ), "-" )</f>
        <v>12.2</v>
      </c>
      <c r="Q68" s="100" t="str">
        <f ca="1" xml:space="preserve"> IF( $D68 &gt; 1, OFFSET( 'INPUTS│Performance Commitments'!$F$95, MATCH( $C68, 'INPUTS│Performance Commitments'!$C$95:$C$113, 0 ), MATCH( $P$4, 'INPUTS│Performance Commitments'!$G$3:$I$3, 0 ) ), "-" )</f>
        <v>-</v>
      </c>
      <c r="R68" s="77" t="str">
        <f t="shared" si="21"/>
        <v>Met</v>
      </c>
      <c r="S68" s="77" t="str">
        <f t="shared" ca="1" si="22"/>
        <v>-</v>
      </c>
      <c r="T68" s="238">
        <f t="shared" ca="1" si="23"/>
        <v>1</v>
      </c>
      <c r="U68" s="47"/>
      <c r="V68" s="229">
        <f xml:space="preserve"> _xlfn.IFNA( VLOOKUP( $C68, 'INPUTS│Performance Commitments'!$C$117:$L$135, MATCH( V$4, 'INPUTS│Performance Commitments'!$K$3:$L$3, 0 ) + 8, 0 ), "-" )</f>
        <v>11.1</v>
      </c>
      <c r="W68" s="229" t="str">
        <f ca="1" xml:space="preserve"> IF( $D68 &gt; 1, OFFSET( 'INPUTS│Performance Commitments'!$J$117, MATCH( $C68, 'INPUTS│Performance Commitments'!$C$117:$C$135, 0 ), MATCH( $V$4, 'INPUTS│Performance Commitments'!$K$3:$L$3, 0 ) ), "-" )</f>
        <v>-</v>
      </c>
      <c r="X68" s="229">
        <f xml:space="preserve"> _xlfn.IFNA( VLOOKUP( $C68, 'INPUTS│Performance Commitments'!$C$95:$L$113, MATCH( X$4, 'INPUTS│Performance Commitments'!$K$3:$L$3, 0 ) + 8, 0 ), "-" )</f>
        <v>12.2</v>
      </c>
      <c r="Y68" s="229" t="str">
        <f ca="1" xml:space="preserve"> IF( $D68 &gt; 1, OFFSET( 'INPUTS│Performance Commitments'!$J$95, MATCH( $C68, 'INPUTS│Performance Commitments'!$C$95:$C$113, 0 ), MATCH( $X$4, 'INPUTS│Performance Commitments'!$K$3:$L$3, 0 ) ), "-" )</f>
        <v>-</v>
      </c>
    </row>
    <row r="69" spans="2:26" outlineLevel="1" x14ac:dyDescent="0.25">
      <c r="C69" s="8" t="s">
        <v>108</v>
      </c>
      <c r="D69" s="171">
        <f xml:space="preserve"> COUNTIF( 'INPUTS│Performance Commitments'!$C$95:$C$113, C69 )</f>
        <v>1</v>
      </c>
      <c r="F69" s="100">
        <f xml:space="preserve"> _xlfn.IFNA( VLOOKUP( $C69, 'INPUTS│Performance Commitments'!$C$117:$I$135, MATCH( F$4, 'INPUTS│Performance Commitments'!$G$3:$I$3, 0 ) + 4, 0 ), "-" )</f>
        <v>0.16250000000000001</v>
      </c>
      <c r="G69" s="100" t="str">
        <f ca="1" xml:space="preserve"> IF( $D69 &gt; 1, OFFSET( 'INPUTS│Performance Commitments'!$F$117, MATCH( $C69, 'INPUTS│Performance Commitments'!$C$117:$C$135, 0 ), MATCH( $F$4, 'INPUTS│Performance Commitments'!$G$3:$I$3, 0 ) ), "-" )</f>
        <v>-</v>
      </c>
      <c r="H69" s="100">
        <f xml:space="preserve"> _xlfn.IFNA( VLOOKUP( $C69, 'INPUTS│Performance Commitments'!$C$95:$I$113, MATCH( H$4, 'INPUTS│Performance Commitments'!$G$3:$I$3, 0 ) + 4, 0 ), "-" )</f>
        <v>0.20833333333333334</v>
      </c>
      <c r="I69" s="100" t="str">
        <f ca="1" xml:space="preserve"> IF( $D69 &gt; 1, OFFSET( 'INPUTS│Performance Commitments'!$F$95, MATCH( $C69, 'INPUTS│Performance Commitments'!$C$95:$C$113, 0 ), MATCH( $H$4, 'INPUTS│Performance Commitments'!$G$3:$I$3, 0 ) ), "-" )</f>
        <v>-</v>
      </c>
      <c r="J69" s="77" t="str">
        <f t="shared" si="18"/>
        <v>Met</v>
      </c>
      <c r="K69" s="77" t="str">
        <f t="shared" ca="1" si="19"/>
        <v>-</v>
      </c>
      <c r="L69" s="238">
        <f t="shared" ca="1" si="20"/>
        <v>1</v>
      </c>
      <c r="N69" s="100">
        <f xml:space="preserve"> _xlfn.IFNA( VLOOKUP( $C69, 'INPUTS│Performance Commitments'!$C$117:$I$135, MATCH( N$4, 'INPUTS│Performance Commitments'!$G$3:$I$3, 0 ) + 4, 0 ), "-" )</f>
        <v>0.14027777777777778</v>
      </c>
      <c r="O69" s="100" t="str">
        <f ca="1" xml:space="preserve"> IF( $D69 &gt; 1, OFFSET( 'INPUTS│Performance Commitments'!$F$117, MATCH( $C69, 'INPUTS│Performance Commitments'!$C$117:$C$135, 0 ), MATCH( $N$4, 'INPUTS│Performance Commitments'!$G$3:$I$3, 0 ) ), "-" )</f>
        <v>-</v>
      </c>
      <c r="P69" s="100">
        <f xml:space="preserve"> _xlfn.IFNA( VLOOKUP( $C69, 'INPUTS│Performance Commitments'!$C$95:$I$113, MATCH( P$4, 'INPUTS│Performance Commitments'!$G$3:$I$3, 0 ) + 4, 0 ), "-" )</f>
        <v>0.20833333333333334</v>
      </c>
      <c r="Q69" s="100" t="str">
        <f ca="1" xml:space="preserve"> IF( $D69 &gt; 1, OFFSET( 'INPUTS│Performance Commitments'!$F$95, MATCH( $C69, 'INPUTS│Performance Commitments'!$C$95:$C$113, 0 ), MATCH( $P$4, 'INPUTS│Performance Commitments'!$G$3:$I$3, 0 ) ), "-" )</f>
        <v>-</v>
      </c>
      <c r="R69" s="77" t="str">
        <f t="shared" si="21"/>
        <v>Met</v>
      </c>
      <c r="S69" s="77" t="str">
        <f t="shared" ca="1" si="22"/>
        <v>-</v>
      </c>
      <c r="T69" s="238">
        <f t="shared" ca="1" si="23"/>
        <v>1</v>
      </c>
      <c r="U69" s="47"/>
      <c r="V69" s="229">
        <f xml:space="preserve"> _xlfn.IFNA( VLOOKUP( $C69, 'INPUTS│Performance Commitments'!$C$117:$L$135, MATCH( V$4, 'INPUTS│Performance Commitments'!$K$3:$L$3, 0 ) + 8, 0 ), "-" )</f>
        <v>3.3666666666666667</v>
      </c>
      <c r="W69" s="229" t="str">
        <f ca="1" xml:space="preserve"> IF( $D69 &gt; 1, OFFSET( 'INPUTS│Performance Commitments'!$J$117, MATCH( $C69, 'INPUTS│Performance Commitments'!$C$117:$C$135, 0 ), MATCH( $V$4, 'INPUTS│Performance Commitments'!$K$3:$L$3, 0 ) ), "-" )</f>
        <v>-</v>
      </c>
      <c r="X69" s="229">
        <f xml:space="preserve"> _xlfn.IFNA( VLOOKUP( $C69, 'INPUTS│Performance Commitments'!$C$95:$L$113, MATCH( X$4, 'INPUTS│Performance Commitments'!$K$3:$L$3, 0 ) + 8, 0 ), "-" )</f>
        <v>5</v>
      </c>
      <c r="Y69" s="229" t="str">
        <f ca="1" xml:space="preserve"> IF( $D69 &gt; 1, OFFSET( 'INPUTS│Performance Commitments'!$J$95, MATCH( $C69, 'INPUTS│Performance Commitments'!$C$95:$C$113, 0 ), MATCH( $X$4, 'INPUTS│Performance Commitments'!$K$3:$L$3, 0 ) ), "-" )</f>
        <v>-</v>
      </c>
    </row>
    <row r="70" spans="2:26" outlineLevel="1" x14ac:dyDescent="0.25">
      <c r="C70" s="8" t="s">
        <v>112</v>
      </c>
      <c r="D70" s="171">
        <f xml:space="preserve"> COUNTIF( 'INPUTS│Performance Commitments'!$C$95:$C$113, C70 )</f>
        <v>1</v>
      </c>
      <c r="F70" s="100">
        <f xml:space="preserve"> _xlfn.IFNA( VLOOKUP( $C70, 'INPUTS│Performance Commitments'!$C$117:$I$135, MATCH( F$4, 'INPUTS│Performance Commitments'!$G$3:$I$3, 0 ) + 4, 0 ), "-" )</f>
        <v>14.2</v>
      </c>
      <c r="G70" s="100" t="str">
        <f ca="1" xml:space="preserve"> IF( $D70 &gt; 1, OFFSET( 'INPUTS│Performance Commitments'!$F$117, MATCH( $C70, 'INPUTS│Performance Commitments'!$C$117:$C$135, 0 ), MATCH( $F$4, 'INPUTS│Performance Commitments'!$G$3:$I$3, 0 ) ), "-" )</f>
        <v>-</v>
      </c>
      <c r="H70" s="100">
        <f xml:space="preserve"> _xlfn.IFNA( VLOOKUP( $C70, 'INPUTS│Performance Commitments'!$C$95:$I$113, MATCH( H$4, 'INPUTS│Performance Commitments'!$G$3:$I$3, 0 ) + 4, 0 ), "-" )</f>
        <v>12</v>
      </c>
      <c r="I70" s="100" t="str">
        <f ca="1" xml:space="preserve"> IF( $D70 &gt; 1, OFFSET( 'INPUTS│Performance Commitments'!$F$95, MATCH( $C70, 'INPUTS│Performance Commitments'!$C$95:$C$113, 0 ), MATCH( $H$4, 'INPUTS│Performance Commitments'!$G$3:$I$3, 0 ) ), "-" )</f>
        <v>-</v>
      </c>
      <c r="J70" s="77" t="str">
        <f t="shared" si="18"/>
        <v>Failed</v>
      </c>
      <c r="K70" s="77" t="str">
        <f t="shared" ca="1" si="19"/>
        <v>-</v>
      </c>
      <c r="L70" s="238">
        <f t="shared" ca="1" si="20"/>
        <v>0</v>
      </c>
      <c r="N70" s="100">
        <f xml:space="preserve"> _xlfn.IFNA( VLOOKUP( $C70, 'INPUTS│Performance Commitments'!$C$117:$I$135, MATCH( N$4, 'INPUTS│Performance Commitments'!$G$3:$I$3, 0 ) + 4, 0 ), "-" )</f>
        <v>10</v>
      </c>
      <c r="O70" s="100" t="str">
        <f ca="1" xml:space="preserve"> IF( $D70 &gt; 1, OFFSET( 'INPUTS│Performance Commitments'!$F$117, MATCH( $C70, 'INPUTS│Performance Commitments'!$C$117:$C$135, 0 ), MATCH( $N$4, 'INPUTS│Performance Commitments'!$G$3:$I$3, 0 ) ), "-" )</f>
        <v>-</v>
      </c>
      <c r="P70" s="100">
        <f xml:space="preserve"> _xlfn.IFNA( VLOOKUP( $C70, 'INPUTS│Performance Commitments'!$C$95:$I$113, MATCH( P$4, 'INPUTS│Performance Commitments'!$G$3:$I$3, 0 ) + 4, 0 ), "-" )</f>
        <v>12</v>
      </c>
      <c r="Q70" s="100" t="str">
        <f ca="1" xml:space="preserve"> IF( $D70 &gt; 1, OFFSET( 'INPUTS│Performance Commitments'!$F$95, MATCH( $C70, 'INPUTS│Performance Commitments'!$C$95:$C$113, 0 ), MATCH( $P$4, 'INPUTS│Performance Commitments'!$G$3:$I$3, 0 ) ), "-" )</f>
        <v>-</v>
      </c>
      <c r="R70" s="77" t="str">
        <f t="shared" si="21"/>
        <v>Met</v>
      </c>
      <c r="S70" s="77" t="str">
        <f t="shared" ca="1" si="22"/>
        <v>-</v>
      </c>
      <c r="T70" s="238">
        <f t="shared" ca="1" si="23"/>
        <v>1</v>
      </c>
      <c r="U70" s="47"/>
      <c r="V70" s="229">
        <f xml:space="preserve"> _xlfn.IFNA( VLOOKUP( $C70, 'INPUTS│Performance Commitments'!$C$117:$L$135, MATCH( V$4, 'INPUTS│Performance Commitments'!$K$3:$L$3, 0 ) + 8, 0 ), "-" )</f>
        <v>10</v>
      </c>
      <c r="W70" s="229" t="str">
        <f ca="1" xml:space="preserve"> IF( $D70 &gt; 1, OFFSET( 'INPUTS│Performance Commitments'!$J$117, MATCH( $C70, 'INPUTS│Performance Commitments'!$C$117:$C$135, 0 ), MATCH( $V$4, 'INPUTS│Performance Commitments'!$K$3:$L$3, 0 ) ), "-" )</f>
        <v>-</v>
      </c>
      <c r="X70" s="229">
        <f xml:space="preserve"> _xlfn.IFNA( VLOOKUP( $C70, 'INPUTS│Performance Commitments'!$C$95:$L$113, MATCH( X$4, 'INPUTS│Performance Commitments'!$K$3:$L$3, 0 ) + 8, 0 ), "-" )</f>
        <v>12</v>
      </c>
      <c r="Y70" s="229" t="str">
        <f ca="1" xml:space="preserve"> IF( $D70 &gt; 1, OFFSET( 'INPUTS│Performance Commitments'!$J$95, MATCH( $C70, 'INPUTS│Performance Commitments'!$C$95:$C$113, 0 ), MATCH( $X$4, 'INPUTS│Performance Commitments'!$K$3:$L$3, 0 ) ), "-" )</f>
        <v>-</v>
      </c>
    </row>
    <row r="71" spans="2:26" outlineLevel="1" x14ac:dyDescent="0.25">
      <c r="C71" s="8" t="s">
        <v>114</v>
      </c>
      <c r="D71" s="171">
        <f xml:space="preserve"> COUNTIF( 'INPUTS│Performance Commitments'!$C$95:$C$113, C71 )</f>
        <v>1</v>
      </c>
      <c r="F71" s="100">
        <f xml:space="preserve"> _xlfn.IFNA( VLOOKUP( $C71, 'INPUTS│Performance Commitments'!$C$117:$I$135, MATCH( F$4, 'INPUTS│Performance Commitments'!$G$3:$I$3, 0 ) + 4, 0 ), "-" )</f>
        <v>7.15</v>
      </c>
      <c r="G71" s="100" t="str">
        <f ca="1" xml:space="preserve"> IF( $D71 &gt; 1, OFFSET( 'INPUTS│Performance Commitments'!$F$117, MATCH( $C71, 'INPUTS│Performance Commitments'!$C$117:$C$135, 0 ), MATCH( $F$4, 'INPUTS│Performance Commitments'!$G$3:$I$3, 0 ) ), "-" )</f>
        <v>-</v>
      </c>
      <c r="H71" s="100">
        <f xml:space="preserve"> _xlfn.IFNA( VLOOKUP( $C71, 'INPUTS│Performance Commitments'!$C$95:$I$113, MATCH( H$4, 'INPUTS│Performance Commitments'!$G$3:$I$3, 0 ) + 4, 0 ), "-" )</f>
        <v>10</v>
      </c>
      <c r="I71" s="100" t="str">
        <f ca="1" xml:space="preserve"> IF( $D71 &gt; 1, OFFSET( 'INPUTS│Performance Commitments'!$F$95, MATCH( $C71, 'INPUTS│Performance Commitments'!$C$95:$C$113, 0 ), MATCH( $H$4, 'INPUTS│Performance Commitments'!$G$3:$I$3, 0 ) ), "-" )</f>
        <v>-</v>
      </c>
      <c r="J71" s="77" t="str">
        <f t="shared" si="18"/>
        <v>Met</v>
      </c>
      <c r="K71" s="77" t="str">
        <f t="shared" ca="1" si="19"/>
        <v>-</v>
      </c>
      <c r="L71" s="238">
        <f t="shared" ca="1" si="20"/>
        <v>1</v>
      </c>
      <c r="N71" s="100">
        <f xml:space="preserve"> _xlfn.IFNA( VLOOKUP( $C71, 'INPUTS│Performance Commitments'!$C$117:$I$135, MATCH( N$4, 'INPUTS│Performance Commitments'!$G$3:$I$3, 0 ) + 4, 0 ), "-" )</f>
        <v>3.35</v>
      </c>
      <c r="O71" s="100" t="str">
        <f ca="1" xml:space="preserve"> IF( $D71 &gt; 1, OFFSET( 'INPUTS│Performance Commitments'!$F$117, MATCH( $C71, 'INPUTS│Performance Commitments'!$C$117:$C$135, 0 ), MATCH( $N$4, 'INPUTS│Performance Commitments'!$G$3:$I$3, 0 ) ), "-" )</f>
        <v>-</v>
      </c>
      <c r="P71" s="100">
        <f xml:space="preserve"> _xlfn.IFNA( VLOOKUP( $C71, 'INPUTS│Performance Commitments'!$C$95:$I$113, MATCH( P$4, 'INPUTS│Performance Commitments'!$G$3:$I$3, 0 ) + 4, 0 ), "-" )</f>
        <v>10</v>
      </c>
      <c r="Q71" s="100" t="str">
        <f ca="1" xml:space="preserve"> IF( $D71 &gt; 1, OFFSET( 'INPUTS│Performance Commitments'!$F$95, MATCH( $C71, 'INPUTS│Performance Commitments'!$C$95:$C$113, 0 ), MATCH( $P$4, 'INPUTS│Performance Commitments'!$G$3:$I$3, 0 ) ), "-" )</f>
        <v>-</v>
      </c>
      <c r="R71" s="77" t="str">
        <f t="shared" si="21"/>
        <v>Met</v>
      </c>
      <c r="S71" s="77" t="str">
        <f t="shared" ca="1" si="22"/>
        <v>-</v>
      </c>
      <c r="T71" s="238">
        <f t="shared" ca="1" si="23"/>
        <v>1</v>
      </c>
      <c r="U71" s="47"/>
      <c r="V71" s="229">
        <f xml:space="preserve"> _xlfn.IFNA( VLOOKUP( $C71, 'INPUTS│Performance Commitments'!$C$117:$L$135, MATCH( V$4, 'INPUTS│Performance Commitments'!$K$3:$L$3, 0 ) + 8, 0 ), "-" )</f>
        <v>3.35</v>
      </c>
      <c r="W71" s="229" t="str">
        <f ca="1" xml:space="preserve"> IF( $D71 &gt; 1, OFFSET( 'INPUTS│Performance Commitments'!$J$117, MATCH( $C71, 'INPUTS│Performance Commitments'!$C$117:$C$135, 0 ), MATCH( $V$4, 'INPUTS│Performance Commitments'!$K$3:$L$3, 0 ) ), "-" )</f>
        <v>-</v>
      </c>
      <c r="X71" s="229">
        <f xml:space="preserve"> _xlfn.IFNA( VLOOKUP( $C71, 'INPUTS│Performance Commitments'!$C$95:$L$113, MATCH( X$4, 'INPUTS│Performance Commitments'!$K$3:$L$3, 0 ) + 8, 0 ), "-" )</f>
        <v>10</v>
      </c>
      <c r="Y71" s="229" t="str">
        <f ca="1" xml:space="preserve"> IF( $D71 &gt; 1, OFFSET( 'INPUTS│Performance Commitments'!$J$95, MATCH( $C71, 'INPUTS│Performance Commitments'!$C$95:$C$113, 0 ), MATCH( $X$4, 'INPUTS│Performance Commitments'!$K$3:$L$3, 0 ) ), "-" )</f>
        <v>-</v>
      </c>
    </row>
    <row r="72" spans="2:26" outlineLevel="1" x14ac:dyDescent="0.25">
      <c r="C72" s="8" t="s">
        <v>110</v>
      </c>
      <c r="D72" s="171">
        <f xml:space="preserve"> COUNTIF( 'INPUTS│Performance Commitments'!$C$95:$C$113, C72 )</f>
        <v>1</v>
      </c>
      <c r="F72" s="100">
        <f xml:space="preserve"> _xlfn.IFNA( VLOOKUP( $C72, 'INPUTS│Performance Commitments'!$C$117:$I$135, MATCH( F$4, 'INPUTS│Performance Commitments'!$G$3:$I$3, 0 ) + 4, 0 ), "-" )</f>
        <v>0.27</v>
      </c>
      <c r="G72" s="100" t="str">
        <f ca="1" xml:space="preserve"> IF( $D72 &gt; 1, OFFSET( 'INPUTS│Performance Commitments'!$F$117, MATCH( $C72, 'INPUTS│Performance Commitments'!$C$117:$C$135, 0 ), MATCH( $F$4, 'INPUTS│Performance Commitments'!$G$3:$I$3, 0 ) ), "-" )</f>
        <v>-</v>
      </c>
      <c r="H72" s="100">
        <f xml:space="preserve"> _xlfn.IFNA( VLOOKUP( $C72, 'INPUTS│Performance Commitments'!$C$95:$I$113, MATCH( H$4, 'INPUTS│Performance Commitments'!$G$3:$I$3, 0 ) + 4, 0 ), "-" )</f>
        <v>0.2</v>
      </c>
      <c r="I72" s="100" t="str">
        <f ca="1" xml:space="preserve"> IF( $D72 &gt; 1, OFFSET( 'INPUTS│Performance Commitments'!$F$95, MATCH( $C72, 'INPUTS│Performance Commitments'!$C$95:$C$113, 0 ), MATCH( $H$4, 'INPUTS│Performance Commitments'!$G$3:$I$3, 0 ) ), "-" )</f>
        <v>-</v>
      </c>
      <c r="J72" s="77" t="str">
        <f xml:space="preserve"> IF( H72 &lt;&gt; "-", IF( F72 &lt;= H72, "Met", "Failed" ), "-" )</f>
        <v>Failed</v>
      </c>
      <c r="K72" s="77" t="str">
        <f ca="1" xml:space="preserve"> IF( I72 &lt;&gt; "-", IF( G72 &lt;= I72, "Met", "Failed" ), "-" )</f>
        <v>-</v>
      </c>
      <c r="L72" s="238">
        <f t="shared" ca="1" si="20"/>
        <v>0</v>
      </c>
      <c r="N72" s="100">
        <f xml:space="preserve"> _xlfn.IFNA( VLOOKUP( $C72, 'INPUTS│Performance Commitments'!$C$117:$I$135, MATCH( N$4, 'INPUTS│Performance Commitments'!$G$3:$I$3, 0 ) + 4, 0 ), "-" )</f>
        <v>0.02</v>
      </c>
      <c r="O72" s="100" t="str">
        <f ca="1" xml:space="preserve"> IF( $D72 &gt; 1, OFFSET( 'INPUTS│Performance Commitments'!$F$117, MATCH( $C72, 'INPUTS│Performance Commitments'!$C$117:$C$135, 0 ), MATCH( $N$4, 'INPUTS│Performance Commitments'!$G$3:$I$3, 0 ) ), "-" )</f>
        <v>-</v>
      </c>
      <c r="P72" s="100">
        <f xml:space="preserve"> _xlfn.IFNA( VLOOKUP( $C72, 'INPUTS│Performance Commitments'!$C$95:$I$113, MATCH( P$4, 'INPUTS│Performance Commitments'!$G$3:$I$3, 0 ) + 4, 0 ), "-" )</f>
        <v>0.2</v>
      </c>
      <c r="Q72" s="100" t="str">
        <f ca="1" xml:space="preserve"> IF( $D72 &gt; 1, OFFSET( 'INPUTS│Performance Commitments'!$F$95, MATCH( $C72, 'INPUTS│Performance Commitments'!$C$95:$C$113, 0 ), MATCH( $P$4, 'INPUTS│Performance Commitments'!$G$3:$I$3, 0 ) ), "-" )</f>
        <v>-</v>
      </c>
      <c r="R72" s="77" t="str">
        <f xml:space="preserve"> IF( P72 &lt;&gt; "-", IF( N72 &lt;= P72, "Met", "Failed" ), "-" )</f>
        <v>Met</v>
      </c>
      <c r="S72" s="77" t="str">
        <f ca="1" xml:space="preserve"> IF( Q72 &lt;&gt; "-", IF( O72 &lt;= Q72, "Met", "Failed" ), "-" )</f>
        <v>-</v>
      </c>
      <c r="T72" s="238">
        <f t="shared" ca="1" si="23"/>
        <v>1</v>
      </c>
      <c r="U72" s="47"/>
      <c r="V72" s="229">
        <f xml:space="preserve"> _xlfn.IFNA( VLOOKUP( $C72, 'INPUTS│Performance Commitments'!$C$117:$L$135, MATCH( V$4, 'INPUTS│Performance Commitments'!$K$3:$L$3, 0 ) + 8, 0 ), "-" )</f>
        <v>1.2</v>
      </c>
      <c r="W72" s="229" t="str">
        <f ca="1" xml:space="preserve"> IF( $D72 &gt; 1, OFFSET( 'INPUTS│Performance Commitments'!$J$117, MATCH( $C72, 'INPUTS│Performance Commitments'!$C$117:$C$135, 0 ), MATCH( $V$4, 'INPUTS│Performance Commitments'!$K$3:$L$3, 0 ) ), "-" )</f>
        <v>-</v>
      </c>
      <c r="X72" s="229">
        <f xml:space="preserve"> _xlfn.IFNA( VLOOKUP( $C72, 'INPUTS│Performance Commitments'!$C$95:$L$113, MATCH( X$4, 'INPUTS│Performance Commitments'!$K$3:$L$3, 0 ) + 8, 0 ), "-" )</f>
        <v>12</v>
      </c>
      <c r="Y72" s="229" t="str">
        <f ca="1" xml:space="preserve"> IF( $D72 &gt; 1, OFFSET( 'INPUTS│Performance Commitments'!$J$95, MATCH( $C72, 'INPUTS│Performance Commitments'!$C$95:$C$113, 0 ), MATCH( $X$4, 'INPUTS│Performance Commitments'!$K$3:$L$3, 0 ) ), "-" )</f>
        <v>-</v>
      </c>
    </row>
    <row r="73" spans="2:26" outlineLevel="1" x14ac:dyDescent="0.25">
      <c r="C73" s="283"/>
      <c r="D73" s="80"/>
      <c r="E73" s="283"/>
      <c r="F73" s="52"/>
      <c r="G73" s="52"/>
      <c r="H73" s="52"/>
      <c r="I73" s="52"/>
      <c r="J73" s="52"/>
      <c r="K73" s="52"/>
      <c r="L73" s="52"/>
      <c r="M73" s="283"/>
      <c r="N73" s="52"/>
      <c r="O73" s="52"/>
      <c r="P73" s="52"/>
      <c r="Q73" s="52"/>
      <c r="R73" s="52"/>
      <c r="S73" s="52"/>
      <c r="T73" s="52"/>
      <c r="U73" s="52"/>
      <c r="V73" s="52"/>
      <c r="W73" s="52"/>
      <c r="X73" s="52"/>
      <c r="Y73" s="52"/>
    </row>
    <row r="74" spans="2:26" outlineLevel="1" x14ac:dyDescent="0.25">
      <c r="C74" s="8" t="s">
        <v>118</v>
      </c>
      <c r="D74" s="171">
        <f xml:space="preserve"> COUNTIF( 'INPUTS│Performance Commitments'!$C$95:$C$113, C74 )</f>
        <v>1</v>
      </c>
      <c r="F74" s="100">
        <f xml:space="preserve"> _xlfn.IFNA( VLOOKUP( $C74, 'INPUTS│Performance Commitments'!$C$117:$I$135, MATCH( F$4, 'INPUTS│Performance Commitments'!$G$3:$I$3, 0 ) + 4, 0 ), "-" )</f>
        <v>0.161</v>
      </c>
      <c r="G74" s="100" t="str">
        <f ca="1" xml:space="preserve"> IF( $D74 &gt; 1, OFFSET( 'INPUTS│Performance Commitments'!$F$117, MATCH( $C74, 'INPUTS│Performance Commitments'!$C$117:$C$135, 0 ), MATCH( $F$4, 'INPUTS│Performance Commitments'!$G$3:$I$3, 0 ) ), "-" )</f>
        <v>-</v>
      </c>
      <c r="H74" s="100">
        <f xml:space="preserve"> _xlfn.IFNA( VLOOKUP( $C74, 'INPUTS│Performance Commitments'!$C$95:$I$113, MATCH( H$4, 'INPUTS│Performance Commitments'!$G$3:$I$3, 0 ) + 4, 0 ), "-" )</f>
        <v>0.214</v>
      </c>
      <c r="I74" s="100" t="str">
        <f ca="1" xml:space="preserve"> IF( $D74 &gt; 1, OFFSET( 'INPUTS│Performance Commitments'!$F$95, MATCH( $C74, 'INPUTS│Performance Commitments'!$C$95:$C$113, 0 ), MATCH( $H$4, 'INPUTS│Performance Commitments'!$G$3:$I$3, 0 ) ), "-" )</f>
        <v>-</v>
      </c>
      <c r="J74" s="77" t="str">
        <f xml:space="preserve"> IF( H74 &lt;&gt; "-", IF( F74 &lt;= H74, "Met", "Failed" ), "-" )</f>
        <v>Met</v>
      </c>
      <c r="K74" s="77" t="str">
        <f ca="1" xml:space="preserve"> IF( I74 &lt;&gt; "-", IF( G74 &lt;= I74, "Met", "Failed" ), "-" )</f>
        <v>-</v>
      </c>
      <c r="L74" s="78">
        <f ca="1" xml:space="preserve"> IF( H74 = "-", "-", COUNTIF( J74:K74, "Met" ) / $D74 )</f>
        <v>1</v>
      </c>
      <c r="N74" s="100">
        <f xml:space="preserve"> _xlfn.IFNA( VLOOKUP( $C74, 'INPUTS│Performance Commitments'!$C$117:$I$135, MATCH( N$4, 'INPUTS│Performance Commitments'!$G$3:$I$3, 0 ) + 4, 0 ), "-" )</f>
        <v>0.19</v>
      </c>
      <c r="O74" s="100" t="str">
        <f ca="1" xml:space="preserve"> IF( $D74 &gt; 1, OFFSET( 'INPUTS│Performance Commitments'!$F$117, MATCH( $C74, 'INPUTS│Performance Commitments'!$C$117:$C$135, 0 ), MATCH( $N$4, 'INPUTS│Performance Commitments'!$G$3:$I$3, 0 ) ), "-" )</f>
        <v>-</v>
      </c>
      <c r="P74" s="100">
        <f xml:space="preserve"> _xlfn.IFNA( VLOOKUP( $C74, 'INPUTS│Performance Commitments'!$C$95:$I$113, MATCH( P$4, 'INPUTS│Performance Commitments'!$G$3:$I$3, 0 ) + 4, 0 ), "-" )</f>
        <v>0.2</v>
      </c>
      <c r="Q74" s="100" t="str">
        <f ca="1" xml:space="preserve"> IF( $D74 &gt; 1, OFFSET( 'INPUTS│Performance Commitments'!$F$95, MATCH( $C74, 'INPUTS│Performance Commitments'!$C$95:$C$113, 0 ), MATCH( $P$4, 'INPUTS│Performance Commitments'!$G$3:$I$3, 0 ) ), "-" )</f>
        <v>-</v>
      </c>
      <c r="R74" s="77" t="str">
        <f xml:space="preserve"> IF( P74 &lt;&gt; "-", IF( N74 &lt;= P74, "Met", "Failed" ), "-" )</f>
        <v>Met</v>
      </c>
      <c r="S74" s="77" t="str">
        <f ca="1" xml:space="preserve"> IF( Q74 &lt;&gt; "-", IF( O74 &lt;= Q74, "Met", "Failed" ), "-" )</f>
        <v>-</v>
      </c>
      <c r="T74" s="78">
        <f ca="1" xml:space="preserve"> IF( P74 = "-", "-", COUNTIF( R74:S74, "Met" ) / $D74 )</f>
        <v>1</v>
      </c>
      <c r="U74" s="47"/>
      <c r="V74" s="77">
        <f xml:space="preserve"> _xlfn.IFNA( VLOOKUP( $C74, 'INPUTS│Performance Commitments'!$C$117:$L$135, MATCH( V$4, 'INPUTS│Performance Commitments'!$K$3:$L$3, 0 ) + 8, 0 ), "-" )</f>
        <v>11.4</v>
      </c>
      <c r="W74" s="77" t="str">
        <f ca="1" xml:space="preserve"> IF( $D74 &gt; 1, OFFSET( 'INPUTS│Performance Commitments'!$J$117, MATCH( $C74, 'INPUTS│Performance Commitments'!$C$117:$C$135, 0 ), MATCH( $V$4, 'INPUTS│Performance Commitments'!$K$3:$L$3, 0 ) ), "-" )</f>
        <v>-</v>
      </c>
      <c r="X74" s="77">
        <f xml:space="preserve"> _xlfn.IFNA( VLOOKUP( $C74, 'INPUTS│Performance Commitments'!$C$95:$L$113, MATCH( X$4, 'INPUTS│Performance Commitments'!$K$3:$L$3, 0 ) + 8, 0 ), "-" )</f>
        <v>12</v>
      </c>
      <c r="Y74" s="77" t="str">
        <f ca="1" xml:space="preserve"> IF( $D74 &gt; 1, OFFSET( 'INPUTS│Performance Commitments'!$J$95, MATCH( $C74, 'INPUTS│Performance Commitments'!$C$95:$C$113, 0 ), MATCH( $X$4, 'INPUTS│Performance Commitments'!$K$3:$L$3, 0 ) ), "-" )</f>
        <v>-</v>
      </c>
    </row>
    <row r="75" spans="2:26" outlineLevel="1" x14ac:dyDescent="0.25">
      <c r="C75" s="8" t="s">
        <v>116</v>
      </c>
      <c r="D75" s="171">
        <f xml:space="preserve"> COUNTIF( 'INPUTS│Performance Commitments'!$C$95:$C$113, C75 )</f>
        <v>1</v>
      </c>
      <c r="F75" s="100">
        <f xml:space="preserve"> _xlfn.IFNA( VLOOKUP( $C75, 'INPUTS│Performance Commitments'!$C$117:$I$135, MATCH( F$4, 'INPUTS│Performance Commitments'!$G$3:$I$3, 0 ) + 4, 0 ), "-" )</f>
        <v>0.66</v>
      </c>
      <c r="G75" s="100" t="str">
        <f ca="1" xml:space="preserve"> IF( $D75 &gt; 1, OFFSET( 'INPUTS│Performance Commitments'!$F$117, MATCH( $C75, 'INPUTS│Performance Commitments'!$C$117:$C$135, 0 ), MATCH( $F$4, 'INPUTS│Performance Commitments'!$G$3:$I$3, 0 ) ), "-" )</f>
        <v>-</v>
      </c>
      <c r="H75" s="100">
        <f xml:space="preserve"> _xlfn.IFNA( VLOOKUP( $C75, 'INPUTS│Performance Commitments'!$C$95:$I$113, MATCH( H$4, 'INPUTS│Performance Commitments'!$G$3:$I$3, 0 ) + 4, 0 ), "-" )</f>
        <v>4.4000000000000004</v>
      </c>
      <c r="I75" s="100" t="str">
        <f ca="1" xml:space="preserve"> IF( $D75 &gt; 1, OFFSET( 'INPUTS│Performance Commitments'!$F$95, MATCH( $C75, 'INPUTS│Performance Commitments'!$C$95:$C$113, 0 ), MATCH( $H$4, 'INPUTS│Performance Commitments'!$G$3:$I$3, 0 ) ), "-" )</f>
        <v>-</v>
      </c>
      <c r="J75" s="77" t="str">
        <f xml:space="preserve"> IF( H75 &lt;&gt; "-", IF( F75 &lt;= H75, "Met", "Failed" ), "-" )</f>
        <v>Met</v>
      </c>
      <c r="K75" s="77" t="str">
        <f ca="1" xml:space="preserve"> IF( I75 &lt;&gt; "-", IF( G75 &lt;= I75, "Met", "Failed" ), "-" )</f>
        <v>-</v>
      </c>
      <c r="L75" s="78">
        <f ca="1" xml:space="preserve"> IF( H75 = "-", "-", COUNTIF( J75:K75, "Met" ) / $D75 )</f>
        <v>1</v>
      </c>
      <c r="N75" s="100">
        <f xml:space="preserve"> _xlfn.IFNA( VLOOKUP( $C75, 'INPUTS│Performance Commitments'!$C$117:$I$135, MATCH( N$4, 'INPUTS│Performance Commitments'!$G$3:$I$3, 0 ) + 4, 0 ), "-" )</f>
        <v>3.2</v>
      </c>
      <c r="O75" s="100" t="str">
        <f ca="1" xml:space="preserve"> IF( $D75 &gt; 1, OFFSET( 'INPUTS│Performance Commitments'!$F$117, MATCH( $C75, 'INPUTS│Performance Commitments'!$C$117:$C$135, 0 ), MATCH( $N$4, 'INPUTS│Performance Commitments'!$G$3:$I$3, 0 ) ), "-" )</f>
        <v>-</v>
      </c>
      <c r="P75" s="100">
        <f xml:space="preserve"> _xlfn.IFNA( VLOOKUP( $C75, 'INPUTS│Performance Commitments'!$C$95:$I$113, MATCH( P$4, 'INPUTS│Performance Commitments'!$G$3:$I$3, 0 ) + 4, 0 ), "-" )</f>
        <v>4.4000000000000004</v>
      </c>
      <c r="Q75" s="100" t="str">
        <f ca="1" xml:space="preserve"> IF( $D75 &gt; 1, OFFSET( 'INPUTS│Performance Commitments'!$F$95, MATCH( $C75, 'INPUTS│Performance Commitments'!$C$95:$C$113, 0 ), MATCH( $P$4, 'INPUTS│Performance Commitments'!$G$3:$I$3, 0 ) ), "-" )</f>
        <v>-</v>
      </c>
      <c r="R75" s="77" t="str">
        <f xml:space="preserve"> IF( P75 &lt;&gt; "-", IF( N75 &lt;= P75, "Met", "Failed" ), "-" )</f>
        <v>Met</v>
      </c>
      <c r="S75" s="77" t="str">
        <f ca="1" xml:space="preserve"> IF( Q75 &lt;&gt; "-", IF( O75 &lt;= Q75, "Met", "Failed" ), "-" )</f>
        <v>-</v>
      </c>
      <c r="T75" s="78">
        <f ca="1" xml:space="preserve"> IF( P75 = "-", "-", COUNTIF( R75:S75, "Met" ) / $D75 )</f>
        <v>1</v>
      </c>
      <c r="U75" s="47"/>
      <c r="V75" s="77">
        <f xml:space="preserve"> _xlfn.IFNA( VLOOKUP( $C75, 'INPUTS│Performance Commitments'!$C$117:$L$135, MATCH( V$4, 'INPUTS│Performance Commitments'!$K$3:$L$3, 0 ) + 8, 0 ), "-" )</f>
        <v>3.2</v>
      </c>
      <c r="W75" s="77" t="str">
        <f ca="1" xml:space="preserve"> IF( $D75 &gt; 1, OFFSET( 'INPUTS│Performance Commitments'!$J$117, MATCH( $C75, 'INPUTS│Performance Commitments'!$C$117:$C$135, 0 ), MATCH( $V$4, 'INPUTS│Performance Commitments'!$K$3:$L$3, 0 ) ), "-" )</f>
        <v>-</v>
      </c>
      <c r="X75" s="77">
        <f xml:space="preserve"> _xlfn.IFNA( VLOOKUP( $C75, 'INPUTS│Performance Commitments'!$C$95:$L$113, MATCH( X$4, 'INPUTS│Performance Commitments'!$K$3:$L$3, 0 ) + 8, 0 ), "-" )</f>
        <v>4.4000000000000004</v>
      </c>
      <c r="Y75" s="77" t="str">
        <f ca="1" xml:space="preserve"> IF( $D75 &gt; 1, OFFSET( 'INPUTS│Performance Commitments'!$J$95, MATCH( $C75, 'INPUTS│Performance Commitments'!$C$95:$C$113, 0 ), MATCH( $X$4, 'INPUTS│Performance Commitments'!$K$3:$L$3, 0 ) ), "-" )</f>
        <v>-</v>
      </c>
    </row>
    <row r="77" spans="2:26" ht="13.5" x14ac:dyDescent="0.35">
      <c r="B77" s="9" t="s">
        <v>165</v>
      </c>
      <c r="C77" s="9"/>
      <c r="D77" s="10"/>
      <c r="E77" s="9"/>
      <c r="F77" s="9"/>
      <c r="G77" s="9"/>
      <c r="H77" s="9"/>
      <c r="I77" s="9"/>
      <c r="J77" s="9"/>
      <c r="K77" s="9"/>
      <c r="L77" s="9"/>
      <c r="M77" s="9"/>
      <c r="N77" s="9"/>
      <c r="O77" s="9"/>
      <c r="P77" s="9"/>
      <c r="Q77" s="9"/>
      <c r="R77" s="9"/>
      <c r="S77" s="9"/>
      <c r="T77" s="9"/>
      <c r="U77" s="9"/>
      <c r="V77" s="9"/>
      <c r="W77" s="9"/>
      <c r="X77" s="9"/>
      <c r="Y77" s="9"/>
      <c r="Z77" s="9"/>
    </row>
    <row r="78" spans="2:26" outlineLevel="1" x14ac:dyDescent="0.25"/>
    <row r="79" spans="2:26" outlineLevel="1" x14ac:dyDescent="0.25">
      <c r="C79" s="8" t="s">
        <v>80</v>
      </c>
      <c r="D79" s="171">
        <f xml:space="preserve"> COUNTIF( 'INPUTS│Performance Commitments'!$C$141:$C$160, C79 )</f>
        <v>1</v>
      </c>
      <c r="F79" s="100">
        <f xml:space="preserve"> _xlfn.IFNA( VLOOKUP( $C79, 'INPUTS│Performance Commitments'!$C$164:$I$183, MATCH( F$4, 'INPUTS│Performance Commitments'!$G$3:$I$3, 0 ) + 4, 0 ), "-" )</f>
        <v>1.18</v>
      </c>
      <c r="G79" s="100" t="str">
        <f ca="1" xml:space="preserve"> IF( $D79 &gt; 1, OFFSET( 'INPUTS│Performance Commitments'!$F$164, MATCH( $C79, 'INPUTS│Performance Commitments'!$C$164:$C$183, 0 ), MATCH( $F$4, 'INPUTS│Performance Commitments'!$G$3:$I$3, 0 ) ), "-" )</f>
        <v>-</v>
      </c>
      <c r="H79" s="100">
        <f xml:space="preserve"> _xlfn.IFNA( VLOOKUP( $C79, 'INPUTS│Performance Commitments'!$C$141:$I$160, MATCH( H$4, 'INPUTS│Performance Commitments'!$G$3:$I$3, 0 ) + 4, 0 ), "-" )</f>
        <v>1.23</v>
      </c>
      <c r="I79" s="100" t="str">
        <f ca="1" xml:space="preserve"> IF( $D79 &gt; 1, OFFSET( 'INPUTS│Performance Commitments'!$F$141, MATCH( $C79, 'INPUTS│Performance Commitments'!$C$141:$C$160, 0 ), MATCH( $H$4, 'INPUTS│Performance Commitments'!$G$3:$I$3, 0 ) ), "-" )</f>
        <v>-</v>
      </c>
      <c r="J79" s="77" t="str">
        <f t="shared" ref="J79:K83" si="24" xml:space="preserve"> IF( H79 &lt;&gt; "-", IF( F79 &lt;= H79, "Met", "Failed" ), "-" )</f>
        <v>Met</v>
      </c>
      <c r="K79" s="77" t="str">
        <f t="shared" ca="1" si="24"/>
        <v>-</v>
      </c>
      <c r="L79" s="238">
        <f ca="1" xml:space="preserve"> IF( H79 = "-", "-", COUNTIF( J79:K79, "Met" ) / $D79 )</f>
        <v>1</v>
      </c>
      <c r="N79" s="100">
        <f xml:space="preserve"> _xlfn.IFNA( VLOOKUP( $C79, 'INPUTS│Performance Commitments'!$C$164:$I$183, MATCH( N$4, 'INPUTS│Performance Commitments'!$G$3:$I$3, 0 ) + 4, 0 ), "-" )</f>
        <v>1.1499999999999999</v>
      </c>
      <c r="O79" s="100" t="str">
        <f ca="1" xml:space="preserve"> IF( $D79 &gt; 1, OFFSET( 'INPUTS│Performance Commitments'!$F$164, MATCH( $C79, 'INPUTS│Performance Commitments'!$C$164:$C$183, 0 ), MATCH( $N$4, 'INPUTS│Performance Commitments'!$G$3:$I$3, 0 ) ), "-" )</f>
        <v>-</v>
      </c>
      <c r="P79" s="100">
        <f xml:space="preserve"> _xlfn.IFNA( VLOOKUP( $C79, 'INPUTS│Performance Commitments'!$C$141:$I$160, MATCH( P$4, 'INPUTS│Performance Commitments'!$G$3:$I$3, 0 ) + 4, 0 ), "-" )</f>
        <v>1.23</v>
      </c>
      <c r="Q79" s="100" t="str">
        <f ca="1" xml:space="preserve"> IF( $D79 &gt; 1, OFFSET( 'INPUTS│Performance Commitments'!$F$141, MATCH( $C79, 'INPUTS│Performance Commitments'!$C$141:$C$160, 0 ), MATCH( $P$4, 'INPUTS│Performance Commitments'!$G$3:$I$3, 0 ) ), "-" )</f>
        <v>-</v>
      </c>
      <c r="R79" s="77" t="str">
        <f t="shared" ref="R79:S83" si="25" xml:space="preserve"> IF( P79 &lt;&gt; "-", IF( N79 &lt;= P79, "Met", "Failed" ), "-" )</f>
        <v>Met</v>
      </c>
      <c r="S79" s="77" t="str">
        <f t="shared" ca="1" si="25"/>
        <v>-</v>
      </c>
      <c r="T79" s="238">
        <f ca="1" xml:space="preserve"> IF( P79 = "-", "-", COUNTIF( R79:S79, "Met" ) / $D79 )</f>
        <v>1</v>
      </c>
      <c r="V79" s="229">
        <f xml:space="preserve"> _xlfn.IFNA( VLOOKUP( $C79, 'INPUTS│Performance Commitments'!$C$164:$L$183, MATCH( V$4, 'INPUTS│Performance Commitments'!$K$3:$L$3, 0 ) + 8, 0 ), "-" )</f>
        <v>1.1499999999999999</v>
      </c>
      <c r="W79" s="229" t="str">
        <f ca="1" xml:space="preserve"> IF( $D79 &gt; 1, OFFSET( 'INPUTS│Performance Commitments'!$J$164, MATCH( $C79, 'INPUTS│Performance Commitments'!$C$164:$C$183, 0 ), MATCH( $V$4, 'INPUTS│Performance Commitments'!$K$3:$L$3, 0 ) ), "-" )</f>
        <v>-</v>
      </c>
      <c r="X79" s="229">
        <f xml:space="preserve"> _xlfn.IFNA( VLOOKUP( $C79, 'INPUTS│Performance Commitments'!$C$141:$L$160, MATCH( X$4, 'INPUTS│Performance Commitments'!$K$3:$L$3, 0 ) + 8, 0 ), "-" )</f>
        <v>1.23</v>
      </c>
      <c r="Y79" s="229" t="str">
        <f ca="1" xml:space="preserve"> IF( $D79 &gt; 1, OFFSET( 'INPUTS│Performance Commitments'!$J$141, MATCH( $C79, 'INPUTS│Performance Commitments'!$C$141:$C$160, 0 ), MATCH( $X$4, 'INPUTS│Performance Commitments'!$K$3:$L$3, 0 ) ), "-" )</f>
        <v>-</v>
      </c>
    </row>
    <row r="80" spans="2:26" outlineLevel="1" x14ac:dyDescent="0.25">
      <c r="C80" s="8" t="s">
        <v>82</v>
      </c>
      <c r="D80" s="171">
        <f xml:space="preserve"> COUNTIF( 'INPUTS│Performance Commitments'!$C$141:$C$160, C80 )</f>
        <v>1</v>
      </c>
      <c r="F80" s="100">
        <f xml:space="preserve"> _xlfn.IFNA( VLOOKUP( $C80, 'INPUTS│Performance Commitments'!$C$164:$I$183, MATCH( F$4, 'INPUTS│Performance Commitments'!$G$3:$I$3, 0 ) + 4, 0 ), "-" )</f>
        <v>3.28</v>
      </c>
      <c r="G80" s="100" t="str">
        <f ca="1" xml:space="preserve"> IF( $D80 &gt; 1, OFFSET( 'INPUTS│Performance Commitments'!$F$164, MATCH( $C80, 'INPUTS│Performance Commitments'!$C$164:$C$183, 0 ), MATCH( $F$4, 'INPUTS│Performance Commitments'!$G$3:$I$3, 0 ) ), "-" )</f>
        <v>-</v>
      </c>
      <c r="H80" s="100">
        <f xml:space="preserve"> _xlfn.IFNA( VLOOKUP( $C80, 'INPUTS│Performance Commitments'!$C$141:$I$160, MATCH( H$4, 'INPUTS│Performance Commitments'!$G$3:$I$3, 0 ) + 4, 0 ), "-" )</f>
        <v>1.23</v>
      </c>
      <c r="I80" s="100" t="str">
        <f ca="1" xml:space="preserve"> IF( $D80 &gt; 1, OFFSET( 'INPUTS│Performance Commitments'!$F$141, MATCH( $C80, 'INPUTS│Performance Commitments'!$C$141:$C$160, 0 ), MATCH( $H$4, 'INPUTS│Performance Commitments'!$G$3:$I$3, 0 ) ), "-" )</f>
        <v>-</v>
      </c>
      <c r="J80" s="77" t="str">
        <f t="shared" si="24"/>
        <v>Failed</v>
      </c>
      <c r="K80" s="77" t="str">
        <f t="shared" ca="1" si="24"/>
        <v>-</v>
      </c>
      <c r="L80" s="238">
        <f ca="1" xml:space="preserve"> IF( H80 = "-", "-", COUNTIF( J80:K80, "Met" ) / $D80 )</f>
        <v>0</v>
      </c>
      <c r="N80" s="100">
        <f xml:space="preserve"> _xlfn.IFNA( VLOOKUP( $C80, 'INPUTS│Performance Commitments'!$C$164:$I$183, MATCH( N$4, 'INPUTS│Performance Commitments'!$G$3:$I$3, 0 ) + 4, 0 ), "-" )</f>
        <v>2.8</v>
      </c>
      <c r="O80" s="100" t="str">
        <f ca="1" xml:space="preserve"> IF( $D80 &gt; 1, OFFSET( 'INPUTS│Performance Commitments'!$F$164, MATCH( $C80, 'INPUTS│Performance Commitments'!$C$164:$C$183, 0 ), MATCH( $N$4, 'INPUTS│Performance Commitments'!$G$3:$I$3, 0 ) ), "-" )</f>
        <v>-</v>
      </c>
      <c r="P80" s="100">
        <f xml:space="preserve"> _xlfn.IFNA( VLOOKUP( $C80, 'INPUTS│Performance Commitments'!$C$141:$I$160, MATCH( P$4, 'INPUTS│Performance Commitments'!$G$3:$I$3, 0 ) + 4, 0 ), "-" )</f>
        <v>1.23</v>
      </c>
      <c r="Q80" s="100" t="str">
        <f ca="1" xml:space="preserve"> IF( $D80 &gt; 1, OFFSET( 'INPUTS│Performance Commitments'!$F$141, MATCH( $C80, 'INPUTS│Performance Commitments'!$C$141:$C$160, 0 ), MATCH( $P$4, 'INPUTS│Performance Commitments'!$G$3:$I$3, 0 ) ), "-" )</f>
        <v>-</v>
      </c>
      <c r="R80" s="77" t="str">
        <f t="shared" si="25"/>
        <v>Failed</v>
      </c>
      <c r="S80" s="77" t="str">
        <f t="shared" ca="1" si="25"/>
        <v>-</v>
      </c>
      <c r="T80" s="238">
        <f ca="1" xml:space="preserve"> IF( P80 = "-", "-", COUNTIF( R80:S80, "Met" ) / $D80 )</f>
        <v>0</v>
      </c>
      <c r="V80" s="229">
        <f xml:space="preserve"> _xlfn.IFNA( VLOOKUP( $C80, 'INPUTS│Performance Commitments'!$C$164:$L$183, MATCH( V$4, 'INPUTS│Performance Commitments'!$K$3:$L$3, 0 ) + 8, 0 ), "-" )</f>
        <v>2.8</v>
      </c>
      <c r="W80" s="229" t="str">
        <f ca="1" xml:space="preserve"> IF( $D80 &gt; 1, OFFSET( 'INPUTS│Performance Commitments'!$J$164, MATCH( $C80, 'INPUTS│Performance Commitments'!$C$164:$C$183, 0 ), MATCH( $V$4, 'INPUTS│Performance Commitments'!$K$3:$L$3, 0 ) ), "-" )</f>
        <v>-</v>
      </c>
      <c r="X80" s="229">
        <f xml:space="preserve"> _xlfn.IFNA( VLOOKUP( $C80, 'INPUTS│Performance Commitments'!$C$141:$L$160, MATCH( X$4, 'INPUTS│Performance Commitments'!$K$3:$L$3, 0 ) + 8, 0 ), "-" )</f>
        <v>1.23</v>
      </c>
      <c r="Y80" s="229" t="str">
        <f ca="1" xml:space="preserve"> IF( $D80 &gt; 1, OFFSET( 'INPUTS│Performance Commitments'!$J$141, MATCH( $C80, 'INPUTS│Performance Commitments'!$C$141:$C$160, 0 ), MATCH( $X$4, 'INPUTS│Performance Commitments'!$K$3:$L$3, 0 ) ), "-" )</f>
        <v>-</v>
      </c>
    </row>
    <row r="81" spans="3:25" outlineLevel="1" x14ac:dyDescent="0.25">
      <c r="C81" s="8" t="s">
        <v>85</v>
      </c>
      <c r="D81" s="171">
        <f xml:space="preserve"> COUNTIF( 'INPUTS│Performance Commitments'!$C$141:$C$160, C81 )</f>
        <v>2</v>
      </c>
      <c r="F81" s="100">
        <f xml:space="preserve"> _xlfn.IFNA( VLOOKUP( $C81, 'INPUTS│Performance Commitments'!$C$164:$I$183, MATCH( F$4, 'INPUTS│Performance Commitments'!$G$3:$I$3, 0 ) + 4, 0 ), "-" )</f>
        <v>1.02</v>
      </c>
      <c r="G81" s="100">
        <f ca="1" xml:space="preserve"> IF( $D81 &gt; 1, OFFSET( 'INPUTS│Performance Commitments'!$F$164, MATCH( $C81, 'INPUTS│Performance Commitments'!$C$164:$C$183, 0 ), MATCH( $F$4, 'INPUTS│Performance Commitments'!$G$3:$I$3, 0 ) ), "-" )</f>
        <v>67</v>
      </c>
      <c r="H81" s="100">
        <f xml:space="preserve"> _xlfn.IFNA( VLOOKUP( $C81, 'INPUTS│Performance Commitments'!$C$141:$I$160, MATCH( H$4, 'INPUTS│Performance Commitments'!$G$3:$I$3, 0 ) + 4, 0 ), "-" )</f>
        <v>1.01</v>
      </c>
      <c r="I81" s="100">
        <f ca="1" xml:space="preserve"> IF( $D81 &gt; 1, OFFSET( 'INPUTS│Performance Commitments'!$F$141, MATCH( $C81, 'INPUTS│Performance Commitments'!$C$141:$C$160, 0 ), MATCH( $H$4, 'INPUTS│Performance Commitments'!$G$3:$I$3, 0 ) ), "-" )</f>
        <v>38</v>
      </c>
      <c r="J81" s="77" t="str">
        <f t="shared" si="24"/>
        <v>Failed</v>
      </c>
      <c r="K81" s="77" t="str">
        <f t="shared" ca="1" si="24"/>
        <v>Failed</v>
      </c>
      <c r="L81" s="238">
        <f ca="1" xml:space="preserve"> IF( H81 = "-", "-", COUNTIF( J81:K81, "Met" ) / $D81 )</f>
        <v>0</v>
      </c>
      <c r="N81" s="100">
        <f xml:space="preserve"> _xlfn.IFNA( VLOOKUP( $C81, 'INPUTS│Performance Commitments'!$C$164:$I$183, MATCH( N$4, 'INPUTS│Performance Commitments'!$G$3:$I$3, 0 ) + 4, 0 ), "-" )</f>
        <v>1.32</v>
      </c>
      <c r="O81" s="101">
        <f ca="1" xml:space="preserve"> IF( $D81 &gt; 1, OFFSET( 'INPUTS│Performance Commitments'!$F$164, MATCH( $C81, 'INPUTS│Performance Commitments'!$C$164:$C$183, 0 ), MATCH( $N$4, 'INPUTS│Performance Commitments'!$G$3:$I$3, 0 ) ), "-" )</f>
        <v>124</v>
      </c>
      <c r="P81" s="100">
        <f xml:space="preserve"> _xlfn.IFNA( VLOOKUP( $C81, 'INPUTS│Performance Commitments'!$C$141:$I$160, MATCH( P$4, 'INPUTS│Performance Commitments'!$G$3:$I$3, 0 ) + 4, 0 ), "-" )</f>
        <v>1.01</v>
      </c>
      <c r="Q81" s="101">
        <f ca="1" xml:space="preserve"> IF( $D81 &gt; 1, OFFSET( 'INPUTS│Performance Commitments'!$F$141, MATCH( $C81, 'INPUTS│Performance Commitments'!$C$141:$C$160, 0 ), MATCH( $P$4, 'INPUTS│Performance Commitments'!$G$3:$I$3, 0 ) ), "-" )</f>
        <v>70</v>
      </c>
      <c r="R81" s="77" t="str">
        <f t="shared" si="25"/>
        <v>Failed</v>
      </c>
      <c r="S81" s="77" t="str">
        <f t="shared" ca="1" si="25"/>
        <v>Failed</v>
      </c>
      <c r="T81" s="238">
        <f ca="1" xml:space="preserve"> IF( P81 = "-", "-", COUNTIF( R81:S81, "Met" ) / $D81 )</f>
        <v>0</v>
      </c>
      <c r="V81" s="229">
        <f xml:space="preserve"> _xlfn.IFNA( VLOOKUP( $C81, 'INPUTS│Performance Commitments'!$C$164:$L$183, MATCH( V$4, 'INPUTS│Performance Commitments'!$K$3:$L$3, 0 ) + 8, 0 ), "-" )</f>
        <v>1.32</v>
      </c>
      <c r="W81" s="229">
        <f ca="1" xml:space="preserve"> IF( $D81 &gt; 1, OFFSET( 'INPUTS│Performance Commitments'!$J$164, MATCH( $C81, 'INPUTS│Performance Commitments'!$C$164:$C$183, 0 ), MATCH( $V$4, 'INPUTS│Performance Commitments'!$K$3:$L$3, 0 ) ), "-" )</f>
        <v>2.236410200916207</v>
      </c>
      <c r="X81" s="229">
        <f xml:space="preserve"> _xlfn.IFNA( VLOOKUP( $C81, 'INPUTS│Performance Commitments'!$C$141:$L$160, MATCH( X$4, 'INPUTS│Performance Commitments'!$K$3:$L$3, 0 ) + 8, 0 ), "-" )</f>
        <v>1.01</v>
      </c>
      <c r="Y81" s="229">
        <f ca="1" xml:space="preserve"> IF( $D81 &gt; 1, OFFSET( 'INPUTS│Performance Commitments'!$J$141, MATCH( $C81, 'INPUTS│Performance Commitments'!$C$141:$C$160, 0 ), MATCH( $X$4, 'INPUTS│Performance Commitments'!$K$3:$L$3, 0 ) ), "-" )</f>
        <v>1.2624896295494716</v>
      </c>
    </row>
    <row r="82" spans="3:25" outlineLevel="1" x14ac:dyDescent="0.25">
      <c r="C82" s="8" t="s">
        <v>87</v>
      </c>
      <c r="D82" s="171">
        <f xml:space="preserve"> COUNTIF( 'INPUTS│Performance Commitments'!$C$141:$C$160, C82 )</f>
        <v>2</v>
      </c>
      <c r="F82" s="101">
        <f xml:space="preserve"> _xlfn.IFNA( VLOOKUP( $C82, 'INPUTS│Performance Commitments'!$C$164:$I$183, MATCH( F$4, 'INPUTS│Performance Commitments'!$G$3:$I$3, 0 ) + 4, 0 ), "-" )</f>
        <v>1060</v>
      </c>
      <c r="G82" s="101">
        <f ca="1" xml:space="preserve"> IF( $D82 &gt; 1, OFFSET( 'INPUTS│Performance Commitments'!$F$164, MATCH( $C82, 'INPUTS│Performance Commitments'!$C$164:$C$183, 0 ), MATCH( $F$4, 'INPUTS│Performance Commitments'!$G$3:$I$3, 0 ) ), "-" )</f>
        <v>2667</v>
      </c>
      <c r="H82" s="101">
        <f xml:space="preserve"> _xlfn.IFNA( VLOOKUP( $C82, 'INPUTS│Performance Commitments'!$C$141:$I$160, MATCH( H$4, 'INPUTS│Performance Commitments'!$G$3:$I$3, 0 ) + 4, 0 ), "-" )</f>
        <v>987</v>
      </c>
      <c r="I82" s="101">
        <f ca="1" xml:space="preserve"> IF( $D82 &gt; 1, OFFSET( 'INPUTS│Performance Commitments'!$F$141, MATCH( $C82, 'INPUTS│Performance Commitments'!$C$141:$C$160, 0 ), MATCH( $H$4, 'INPUTS│Performance Commitments'!$G$3:$I$3, 0 ) ), "-" )</f>
        <v>3108</v>
      </c>
      <c r="J82" s="77" t="str">
        <f t="shared" si="24"/>
        <v>Failed</v>
      </c>
      <c r="K82" s="77" t="str">
        <f t="shared" ca="1" si="24"/>
        <v>Met</v>
      </c>
      <c r="L82" s="238">
        <f ca="1" xml:space="preserve"> IF( H82 = "-", "-", COUNTIF( J82:K82, "Met" ) / $D82 )</f>
        <v>0.5</v>
      </c>
      <c r="N82" s="101">
        <f xml:space="preserve"> _xlfn.IFNA( VLOOKUP( $C82, 'INPUTS│Performance Commitments'!$C$164:$I$183, MATCH( N$4, 'INPUTS│Performance Commitments'!$G$3:$I$3, 0 ) + 4, 0 ), "-" )</f>
        <v>862</v>
      </c>
      <c r="O82" s="101">
        <f ca="1" xml:space="preserve"> IF( $D82 &gt; 1, OFFSET( 'INPUTS│Performance Commitments'!$F$164, MATCH( $C82, 'INPUTS│Performance Commitments'!$C$164:$C$183, 0 ), MATCH( $N$4, 'INPUTS│Performance Commitments'!$G$3:$I$3, 0 ) ), "-" )</f>
        <v>2492</v>
      </c>
      <c r="P82" s="101">
        <f xml:space="preserve"> _xlfn.IFNA( VLOOKUP( $C82, 'INPUTS│Performance Commitments'!$C$141:$I$160, MATCH( P$4, 'INPUTS│Performance Commitments'!$G$3:$I$3, 0 ) + 4, 0 ), "-" )</f>
        <v>987</v>
      </c>
      <c r="Q82" s="101">
        <f ca="1" xml:space="preserve"> IF( $D82 &gt; 1, OFFSET( 'INPUTS│Performance Commitments'!$F$141, MATCH( $C82, 'INPUTS│Performance Commitments'!$C$141:$C$160, 0 ), MATCH( $P$4, 'INPUTS│Performance Commitments'!$G$3:$I$3, 0 ) ), "-" )</f>
        <v>2908</v>
      </c>
      <c r="R82" s="77" t="str">
        <f t="shared" si="25"/>
        <v>Met</v>
      </c>
      <c r="S82" s="77" t="str">
        <f t="shared" ca="1" si="25"/>
        <v>Met</v>
      </c>
      <c r="T82" s="238">
        <f ca="1" xml:space="preserve"> IF( P82 = "-", "-", COUNTIF( R82:S82, "Met" ) / $D82 )</f>
        <v>1</v>
      </c>
      <c r="V82" s="229">
        <f xml:space="preserve"> _xlfn.IFNA( VLOOKUP( $C82, 'INPUTS│Performance Commitments'!$C$164:$L$183, MATCH( V$4, 'INPUTS│Performance Commitments'!$K$3:$L$3, 0 ) + 8, 0 ), "-" )</f>
        <v>0.19</v>
      </c>
      <c r="W82" s="229">
        <f ca="1" xml:space="preserve"> IF( $D82 &gt; 1, OFFSET( 'INPUTS│Performance Commitments'!$J$164, MATCH( $C82, 'INPUTS│Performance Commitments'!$C$164:$C$183, 0 ), MATCH( $V$4, 'INPUTS│Performance Commitments'!$K$3:$L$3, 0 ) ), "-" )</f>
        <v>0.55000000000000004</v>
      </c>
      <c r="X82" s="229">
        <f xml:space="preserve"> _xlfn.IFNA( VLOOKUP( $C82, 'INPUTS│Performance Commitments'!$C$141:$L$160, MATCH( X$4, 'INPUTS│Performance Commitments'!$K$3:$L$3, 0 ) + 8, 0 ), "-" )</f>
        <v>0.22</v>
      </c>
      <c r="Y82" s="229">
        <f ca="1" xml:space="preserve"> IF( $D82 &gt; 1, OFFSET( 'INPUTS│Performance Commitments'!$J$141, MATCH( $C82, 'INPUTS│Performance Commitments'!$C$141:$C$160, 0 ), MATCH( $X$4, 'INPUTS│Performance Commitments'!$K$3:$L$3, 0 ) ), "-" )</f>
        <v>0.65</v>
      </c>
    </row>
    <row r="83" spans="3:25" outlineLevel="1" x14ac:dyDescent="0.25">
      <c r="C83" s="8" t="s">
        <v>89</v>
      </c>
      <c r="D83" s="171">
        <f xml:space="preserve"> COUNTIF( 'INPUTS│Performance Commitments'!$C$141:$C$160, C83 )</f>
        <v>2</v>
      </c>
      <c r="F83" s="100">
        <f xml:space="preserve"> _xlfn.IFNA( VLOOKUP( $C83, 'INPUTS│Performance Commitments'!$C$164:$I$183, MATCH( F$4, 'INPUTS│Performance Commitments'!$G$3:$I$3, 0 ) + 4, 0 ), "-" )</f>
        <v>11856</v>
      </c>
      <c r="G83" s="100">
        <f ca="1" xml:space="preserve"> IF( $D83 &gt; 1, OFFSET( 'INPUTS│Performance Commitments'!$F$164, MATCH( $C83, 'INPUTS│Performance Commitments'!$C$164:$C$183, 0 ), MATCH( $F$4, 'INPUTS│Performance Commitments'!$G$3:$I$3, 0 ) ), "-" )</f>
        <v>0.45</v>
      </c>
      <c r="H83" s="100">
        <f xml:space="preserve"> _xlfn.IFNA( VLOOKUP( $C83, 'INPUTS│Performance Commitments'!$C$141:$I$160, MATCH( H$4, 'INPUTS│Performance Commitments'!$G$3:$I$3, 0 ) + 4, 0 ), "-" )</f>
        <v>9954</v>
      </c>
      <c r="I83" s="100">
        <f ca="1" xml:space="preserve"> IF( $D83 &gt; 1, OFFSET( 'INPUTS│Performance Commitments'!$F$141, MATCH( $C83, 'INPUTS│Performance Commitments'!$C$141:$C$160, 0 ), MATCH( $H$4, 'INPUTS│Performance Commitments'!$G$3:$I$3, 0 ) ), "-" )</f>
        <v>1.01</v>
      </c>
      <c r="J83" s="77" t="str">
        <f t="shared" si="24"/>
        <v>Failed</v>
      </c>
      <c r="K83" s="77" t="str">
        <f t="shared" ca="1" si="24"/>
        <v>Met</v>
      </c>
      <c r="L83" s="238">
        <f ca="1" xml:space="preserve"> IF( H83 = "-", "-", COUNTIF( J83:K83, "Met" ) / $D83 )</f>
        <v>0.5</v>
      </c>
      <c r="N83" s="101">
        <f xml:space="preserve"> _xlfn.IFNA( VLOOKUP( $C83, 'INPUTS│Performance Commitments'!$C$164:$I$183, MATCH( N$4, 'INPUTS│Performance Commitments'!$G$3:$I$3, 0 ) + 4, 0 ), "-" )</f>
        <v>10181</v>
      </c>
      <c r="O83" s="100">
        <f ca="1" xml:space="preserve"> IF( $D83 &gt; 1, OFFSET( 'INPUTS│Performance Commitments'!$F$164, MATCH( $C83, 'INPUTS│Performance Commitments'!$C$164:$C$183, 0 ), MATCH( $N$4, 'INPUTS│Performance Commitments'!$G$3:$I$3, 0 ) ), "-" )</f>
        <v>1.17</v>
      </c>
      <c r="P83" s="101">
        <f xml:space="preserve"> _xlfn.IFNA( VLOOKUP( $C83, 'INPUTS│Performance Commitments'!$C$141:$I$160, MATCH( P$4, 'INPUTS│Performance Commitments'!$G$3:$I$3, 0 ) + 4, 0 ), "-" )</f>
        <v>9922</v>
      </c>
      <c r="Q83" s="100">
        <f ca="1" xml:space="preserve"> IF( $D83 &gt; 1, OFFSET( 'INPUTS│Performance Commitments'!$F$141, MATCH( $C83, 'INPUTS│Performance Commitments'!$C$141:$C$160, 0 ), MATCH( $P$4, 'INPUTS│Performance Commitments'!$G$3:$I$3, 0 ) ), "-" )</f>
        <v>1.01</v>
      </c>
      <c r="R83" s="77" t="str">
        <f t="shared" si="25"/>
        <v>Failed</v>
      </c>
      <c r="S83" s="77" t="str">
        <f t="shared" ca="1" si="25"/>
        <v>Failed</v>
      </c>
      <c r="T83" s="238">
        <f ca="1" xml:space="preserve"> IF( P83 = "-", "-", COUNTIF( R83:S83, "Met" ) / $D83 )</f>
        <v>0</v>
      </c>
      <c r="V83" s="229">
        <f xml:space="preserve"> _xlfn.IFNA( VLOOKUP( $C83, 'INPUTS│Performance Commitments'!$C$164:$L$183, MATCH( V$4, 'INPUTS│Performance Commitments'!$K$3:$L$3, 0 ) + 8, 0 ), "-" )</f>
        <v>1.3117735704360949</v>
      </c>
      <c r="W83" s="229">
        <f ca="1" xml:space="preserve"> IF( $D83 &gt; 1, OFFSET( 'INPUTS│Performance Commitments'!$J$164, MATCH( $C83, 'INPUTS│Performance Commitments'!$C$164:$C$183, 0 ), MATCH( $V$4, 'INPUTS│Performance Commitments'!$K$3:$L$3, 0 ) ), "-" )</f>
        <v>1.17</v>
      </c>
      <c r="X83" s="229">
        <f xml:space="preserve"> _xlfn.IFNA( VLOOKUP( $C83, 'INPUTS│Performance Commitments'!$C$141:$L$160, MATCH( X$4, 'INPUTS│Performance Commitments'!$K$3:$L$3, 0 ) + 8, 0 ), "-" )</f>
        <v>1.2784026486461972</v>
      </c>
      <c r="Y83" s="229">
        <f ca="1" xml:space="preserve"> IF( $D83 &gt; 1, OFFSET( 'INPUTS│Performance Commitments'!$J$141, MATCH( $C83, 'INPUTS│Performance Commitments'!$C$141:$C$160, 0 ), MATCH( $X$4, 'INPUTS│Performance Commitments'!$K$3:$L$3, 0 ) ), "-" )</f>
        <v>1.01</v>
      </c>
    </row>
    <row r="84" spans="3:25" s="83" customFormat="1" outlineLevel="1" x14ac:dyDescent="0.25">
      <c r="C84" s="83" t="s">
        <v>91</v>
      </c>
      <c r="D84" s="85">
        <f xml:space="preserve"> SUM( D97, D98 )</f>
        <v>2</v>
      </c>
      <c r="F84" s="86">
        <f>F97</f>
        <v>2.13</v>
      </c>
      <c r="G84" s="86">
        <f>F98</f>
        <v>0.71</v>
      </c>
      <c r="H84" s="86">
        <f>H97</f>
        <v>3.3</v>
      </c>
      <c r="I84" s="86">
        <f>H98</f>
        <v>1.23</v>
      </c>
      <c r="J84" s="86" t="str">
        <f>J97</f>
        <v>Met</v>
      </c>
      <c r="K84" s="86" t="str">
        <f>J98</f>
        <v>Met</v>
      </c>
      <c r="L84" s="238">
        <f ca="1" xml:space="preserve"> IF( OR( L97 = "-", L98 = "-" ), MAX( L97:L98 ), SUM( L97:L98 ) / 2 )</f>
        <v>1</v>
      </c>
      <c r="N84" s="86">
        <f>N97</f>
        <v>1.9</v>
      </c>
      <c r="O84" s="86">
        <f>N98</f>
        <v>1.01</v>
      </c>
      <c r="P84" s="86">
        <f>P97</f>
        <v>3</v>
      </c>
      <c r="Q84" s="86">
        <f>P98</f>
        <v>1.23</v>
      </c>
      <c r="R84" s="86" t="str">
        <f>R97</f>
        <v>Met</v>
      </c>
      <c r="S84" s="86" t="str">
        <f>R98</f>
        <v>Met</v>
      </c>
      <c r="T84" s="238">
        <f ca="1" xml:space="preserve"> IF( OR( T97 = "-", T98 = "-" ), MAX( T97:T98 ), SUM( T97:T98 ) / 2 )</f>
        <v>1</v>
      </c>
      <c r="V84" s="229">
        <f>V97</f>
        <v>1.9</v>
      </c>
      <c r="W84" s="229">
        <f>V98</f>
        <v>1.01</v>
      </c>
      <c r="X84" s="229">
        <f>X97</f>
        <v>3</v>
      </c>
      <c r="Y84" s="229">
        <f>X98</f>
        <v>1.23</v>
      </c>
    </row>
    <row r="85" spans="3:25" outlineLevel="1" x14ac:dyDescent="0.25">
      <c r="C85" s="8" t="s">
        <v>94</v>
      </c>
      <c r="D85" s="171">
        <f xml:space="preserve"> COUNTIF( 'INPUTS│Performance Commitments'!$C$141:$C$160, C85 )</f>
        <v>1</v>
      </c>
      <c r="F85" s="100">
        <f xml:space="preserve"> _xlfn.IFNA( VLOOKUP( $C85, 'INPUTS│Performance Commitments'!$C$164:$I$183, MATCH( F$4, 'INPUTS│Performance Commitments'!$G$3:$I$3, 0 ) + 4, 0 ), "-" )</f>
        <v>0.68</v>
      </c>
      <c r="G85" s="100" t="str">
        <f ca="1" xml:space="preserve"> IF( $D85 &gt; 1, OFFSET( 'INPUTS│Performance Commitments'!$F$164, MATCH( $C85, 'INPUTS│Performance Commitments'!$C$164:$C$183, 0 ), MATCH( $F$4, 'INPUTS│Performance Commitments'!$G$3:$I$3, 0 ) ), "-" )</f>
        <v>-</v>
      </c>
      <c r="H85" s="100">
        <f xml:space="preserve"> _xlfn.IFNA( VLOOKUP( $C85, 'INPUTS│Performance Commitments'!$C$141:$I$160, MATCH( H$4, 'INPUTS│Performance Commitments'!$G$3:$I$3, 0 ) + 4, 0 ), "-" )</f>
        <v>0.82</v>
      </c>
      <c r="I85" s="100" t="str">
        <f ca="1" xml:space="preserve"> IF( $D85 &gt; 1, OFFSET( 'INPUTS│Performance Commitments'!$F$141, MATCH( $C85, 'INPUTS│Performance Commitments'!$C$141:$C$160, 0 ), MATCH( $H$4, 'INPUTS│Performance Commitments'!$G$3:$I$3, 0 ) ), "-" )</f>
        <v>-</v>
      </c>
      <c r="J85" s="77" t="str">
        <f t="shared" ref="J85:J98" si="26" xml:space="preserve"> IF( H85 &lt;&gt; "-", IF( F85 &lt;= H85, "Met", "Failed" ), "-" )</f>
        <v>Met</v>
      </c>
      <c r="K85" s="77" t="str">
        <f t="shared" ref="K85:K94" ca="1" si="27" xml:space="preserve"> IF( I85 &lt;&gt; "-", IF( G85 &lt;= I85, "Met", "Failed" ), "-" )</f>
        <v>-</v>
      </c>
      <c r="L85" s="238">
        <f ca="1" xml:space="preserve"> IF( H85 = "-", "-", COUNTIF( J85:K85, "Met" ) / $D85 )</f>
        <v>1</v>
      </c>
      <c r="N85" s="100">
        <f xml:space="preserve"> _xlfn.IFNA( VLOOKUP( $C85, 'INPUTS│Performance Commitments'!$C$164:$I$183, MATCH( N$4, 'INPUTS│Performance Commitments'!$G$3:$I$3, 0 ) + 4, 0 ), "-" )</f>
        <v>0.67</v>
      </c>
      <c r="O85" s="100" t="str">
        <f ca="1" xml:space="preserve"> IF( $D85 &gt; 1, OFFSET( 'INPUTS│Performance Commitments'!$F$164, MATCH( $C85, 'INPUTS│Performance Commitments'!$C$164:$C$183, 0 ), MATCH( $N$4, 'INPUTS│Performance Commitments'!$G$3:$I$3, 0 ) ), "-" )</f>
        <v>-</v>
      </c>
      <c r="P85" s="100">
        <f xml:space="preserve"> _xlfn.IFNA( VLOOKUP( $C85, 'INPUTS│Performance Commitments'!$C$141:$I$160, MATCH( P$4, 'INPUTS│Performance Commitments'!$G$3:$I$3, 0 ) + 4, 0 ), "-" )</f>
        <v>0.82</v>
      </c>
      <c r="Q85" s="100" t="str">
        <f ca="1" xml:space="preserve"> IF( $D85 &gt; 1, OFFSET( 'INPUTS│Performance Commitments'!$F$141, MATCH( $C85, 'INPUTS│Performance Commitments'!$C$141:$C$160, 0 ), MATCH( $P$4, 'INPUTS│Performance Commitments'!$G$3:$I$3, 0 ) ), "-" )</f>
        <v>-</v>
      </c>
      <c r="R85" s="77" t="str">
        <f t="shared" ref="R85:R98" si="28" xml:space="preserve"> IF( P85 &lt;&gt; "-", IF( N85 &lt;= P85, "Met", "Failed" ), "-" )</f>
        <v>Met</v>
      </c>
      <c r="S85" s="77" t="str">
        <f t="shared" ref="S85:S94" ca="1" si="29" xml:space="preserve"> IF( Q85 &lt;&gt; "-", IF( O85 &lt;= Q85, "Met", "Failed" ), "-" )</f>
        <v>-</v>
      </c>
      <c r="T85" s="238">
        <f ca="1" xml:space="preserve"> IF( P85 = "-", "-", COUNTIF( R85:S85, "Met" ) / $D85 )</f>
        <v>1</v>
      </c>
      <c r="V85" s="229">
        <f xml:space="preserve"> _xlfn.IFNA( VLOOKUP( $C85, 'INPUTS│Performance Commitments'!$C$164:$L$183, MATCH( V$4, 'INPUTS│Performance Commitments'!$K$3:$L$3, 0 ) + 8, 0 ), "-" )</f>
        <v>0.67</v>
      </c>
      <c r="W85" s="229" t="str">
        <f ca="1" xml:space="preserve"> IF( $D85 &gt; 1, OFFSET( 'INPUTS│Performance Commitments'!$J$164, MATCH( $C85, 'INPUTS│Performance Commitments'!$C$164:$C$183, 0 ), MATCH( $V$4, 'INPUTS│Performance Commitments'!$K$3:$L$3, 0 ) ), "-" )</f>
        <v>-</v>
      </c>
      <c r="X85" s="229">
        <f xml:space="preserve"> _xlfn.IFNA( VLOOKUP( $C85, 'INPUTS│Performance Commitments'!$C$141:$L$160, MATCH( X$4, 'INPUTS│Performance Commitments'!$K$3:$L$3, 0 ) + 8, 0 ), "-" )</f>
        <v>0.82</v>
      </c>
      <c r="Y85" s="229" t="str">
        <f ca="1" xml:space="preserve"> IF( $D85 &gt; 1, OFFSET( 'INPUTS│Performance Commitments'!$J$141, MATCH( $C85, 'INPUTS│Performance Commitments'!$C$141:$C$160, 0 ), MATCH( $X$4, 'INPUTS│Performance Commitments'!$K$3:$L$3, 0 ) ), "-" )</f>
        <v>-</v>
      </c>
    </row>
    <row r="86" spans="3:25" outlineLevel="1" x14ac:dyDescent="0.25">
      <c r="C86" s="8" t="s">
        <v>96</v>
      </c>
      <c r="D86" s="171">
        <f xml:space="preserve"> COUNTIF( 'INPUTS│Performance Commitments'!$C$141:$C$160, C86 )</f>
        <v>0</v>
      </c>
      <c r="F86" s="100" t="str">
        <f xml:space="preserve"> _xlfn.IFNA( VLOOKUP( $C86, 'INPUTS│Performance Commitments'!$C$164:$I$183, MATCH( F$4, 'INPUTS│Performance Commitments'!$G$3:$I$3, 0 ) + 4, 0 ), "-" )</f>
        <v>-</v>
      </c>
      <c r="G86" s="100" t="str">
        <f ca="1" xml:space="preserve"> IF( $D86 &gt; 1, OFFSET( 'INPUTS│Performance Commitments'!$F$164, MATCH( $C86, 'INPUTS│Performance Commitments'!$C$164:$C$183, 0 ), MATCH( $F$4, 'INPUTS│Performance Commitments'!$G$3:$I$3, 0 ) ), "-" )</f>
        <v>-</v>
      </c>
      <c r="H86" s="100" t="str">
        <f xml:space="preserve"> _xlfn.IFNA( VLOOKUP( $C86, 'INPUTS│Performance Commitments'!$C$141:$I$160, MATCH( H$4, 'INPUTS│Performance Commitments'!$G$3:$I$3, 0 ) + 4, 0 ), "-" )</f>
        <v>-</v>
      </c>
      <c r="I86" s="100" t="str">
        <f ca="1" xml:space="preserve"> IF( $D86 &gt; 1, OFFSET( 'INPUTS│Performance Commitments'!$F$141, MATCH( $C86, 'INPUTS│Performance Commitments'!$C$141:$C$160, 0 ), MATCH( $H$4, 'INPUTS│Performance Commitments'!$G$3:$I$3, 0 ) ), "-" )</f>
        <v>-</v>
      </c>
      <c r="J86" s="77" t="str">
        <f t="shared" si="26"/>
        <v>-</v>
      </c>
      <c r="K86" s="77" t="str">
        <f t="shared" ca="1" si="27"/>
        <v>-</v>
      </c>
      <c r="L86" s="238" t="str">
        <f xml:space="preserve"> IF( H86 = "-", "-", COUNTIF( J86:K86, "Met" ) / $D86 )</f>
        <v>-</v>
      </c>
      <c r="N86" s="100" t="str">
        <f xml:space="preserve"> _xlfn.IFNA( VLOOKUP( $C86, 'INPUTS│Performance Commitments'!$C$164:$I$183, MATCH( N$4, 'INPUTS│Performance Commitments'!$G$3:$I$3, 0 ) + 4, 0 ), "-" )</f>
        <v>-</v>
      </c>
      <c r="O86" s="100" t="str">
        <f ca="1" xml:space="preserve"> IF( $D86 &gt; 1, OFFSET( 'INPUTS│Performance Commitments'!$F$164, MATCH( $C86, 'INPUTS│Performance Commitments'!$C$164:$C$183, 0 ), MATCH( $N$4, 'INPUTS│Performance Commitments'!$G$3:$I$3, 0 ) ), "-" )</f>
        <v>-</v>
      </c>
      <c r="P86" s="100" t="str">
        <f xml:space="preserve"> _xlfn.IFNA( VLOOKUP( $C86, 'INPUTS│Performance Commitments'!$C$141:$I$160, MATCH( P$4, 'INPUTS│Performance Commitments'!$G$3:$I$3, 0 ) + 4, 0 ), "-" )</f>
        <v>-</v>
      </c>
      <c r="Q86" s="100" t="str">
        <f ca="1" xml:space="preserve"> IF( $D86 &gt; 1, OFFSET( 'INPUTS│Performance Commitments'!$F$141, MATCH( $C86, 'INPUTS│Performance Commitments'!$C$141:$C$160, 0 ), MATCH( $P$4, 'INPUTS│Performance Commitments'!$G$3:$I$3, 0 ) ), "-" )</f>
        <v>-</v>
      </c>
      <c r="R86" s="77" t="str">
        <f t="shared" si="28"/>
        <v>-</v>
      </c>
      <c r="S86" s="77" t="str">
        <f t="shared" ca="1" si="29"/>
        <v>-</v>
      </c>
      <c r="T86" s="238" t="str">
        <f xml:space="preserve"> IF( P86 = "-", "-", COUNTIF( R86:S86, "Met" ) / $D86 )</f>
        <v>-</v>
      </c>
      <c r="V86" s="229" t="str">
        <f xml:space="preserve"> _xlfn.IFNA( VLOOKUP( $C86, 'INPUTS│Performance Commitments'!$C$164:$L$183, MATCH( V$4, 'INPUTS│Performance Commitments'!$K$3:$L$3, 0 ) + 8, 0 ), "-" )</f>
        <v>-</v>
      </c>
      <c r="W86" s="229" t="str">
        <f ca="1" xml:space="preserve"> IF( $D86 &gt; 1, OFFSET( 'INPUTS│Performance Commitments'!$J$164, MATCH( $C86, 'INPUTS│Performance Commitments'!$C$164:$C$183, 0 ), MATCH( $V$4, 'INPUTS│Performance Commitments'!$K$3:$L$3, 0 ) ), "-" )</f>
        <v>-</v>
      </c>
      <c r="X86" s="229" t="str">
        <f xml:space="preserve"> _xlfn.IFNA( VLOOKUP( $C86, 'INPUTS│Performance Commitments'!$C$141:$L$160, MATCH( X$4, 'INPUTS│Performance Commitments'!$K$3:$L$3, 0 ) + 8, 0 ), "-" )</f>
        <v>-</v>
      </c>
      <c r="Y86" s="229" t="str">
        <f ca="1" xml:space="preserve"> IF( $D86 &gt; 1, OFFSET( 'INPUTS│Performance Commitments'!$J$141, MATCH( $C86, 'INPUTS│Performance Commitments'!$C$141:$C$160, 0 ), MATCH( $X$4, 'INPUTS│Performance Commitments'!$K$3:$L$3, 0 ) ), "-" )</f>
        <v>-</v>
      </c>
    </row>
    <row r="87" spans="3:25" outlineLevel="1" x14ac:dyDescent="0.25">
      <c r="C87" s="8" t="s">
        <v>98</v>
      </c>
      <c r="D87" s="171">
        <f xml:space="preserve"> COUNTIF( 'INPUTS│Performance Commitments'!$C$141:$C$160, C87 )</f>
        <v>1</v>
      </c>
      <c r="F87" s="101">
        <f xml:space="preserve"> _xlfn.IFNA( VLOOKUP( $C87, 'INPUTS│Performance Commitments'!$C$164:$I$183, MATCH( F$4, 'INPUTS│Performance Commitments'!$G$3:$I$3, 0 ) + 4, 0 ), "-" )</f>
        <v>10923</v>
      </c>
      <c r="G87" s="101" t="str">
        <f ca="1" xml:space="preserve"> IF( $D87 &gt; 1, OFFSET( 'INPUTS│Performance Commitments'!$F$164, MATCH( $C87, 'INPUTS│Performance Commitments'!$C$164:$C$183, 0 ), MATCH( $F$4, 'INPUTS│Performance Commitments'!$G$3:$I$3, 0 ) ), "-" )</f>
        <v>-</v>
      </c>
      <c r="H87" s="101">
        <f xml:space="preserve"> _xlfn.IFNA( VLOOKUP( $C87, 'INPUTS│Performance Commitments'!$C$141:$I$160, MATCH( H$4, 'INPUTS│Performance Commitments'!$G$3:$I$3, 0 ) + 4, 0 ), "-" )</f>
        <v>6904</v>
      </c>
      <c r="I87" s="101" t="str">
        <f ca="1" xml:space="preserve"> IF( $D87 &gt; 1, OFFSET( 'INPUTS│Performance Commitments'!$F$141, MATCH( $C87, 'INPUTS│Performance Commitments'!$C$141:$C$160, 0 ), MATCH( $H$4, 'INPUTS│Performance Commitments'!$G$3:$I$3, 0 ) ), "-" )</f>
        <v>-</v>
      </c>
      <c r="J87" s="77" t="str">
        <f t="shared" si="26"/>
        <v>Failed</v>
      </c>
      <c r="K87" s="77" t="str">
        <f t="shared" ca="1" si="27"/>
        <v>-</v>
      </c>
      <c r="L87" s="238">
        <f t="shared" ref="L87:L94" ca="1" si="30" xml:space="preserve"> IF( H87 = "-", "-", COUNTIF( J87:K87, "Met" ) / $D87 )</f>
        <v>0</v>
      </c>
      <c r="N87" s="101">
        <f xml:space="preserve"> _xlfn.IFNA( VLOOKUP( $C87, 'INPUTS│Performance Commitments'!$C$164:$I$183, MATCH( N$4, 'INPUTS│Performance Commitments'!$G$3:$I$3, 0 ) + 4, 0 ), "-" )</f>
        <v>10456</v>
      </c>
      <c r="O87" s="101" t="str">
        <f ca="1" xml:space="preserve"> IF( $D87 &gt; 1, OFFSET( 'INPUTS│Performance Commitments'!$F$164, MATCH( $C87, 'INPUTS│Performance Commitments'!$C$164:$C$183, 0 ), MATCH( $N$4, 'INPUTS│Performance Commitments'!$G$3:$I$3, 0 ) ), "-" )</f>
        <v>-</v>
      </c>
      <c r="P87" s="101">
        <f xml:space="preserve"> _xlfn.IFNA( VLOOKUP( $C87, 'INPUTS│Performance Commitments'!$C$141:$I$160, MATCH( P$4, 'INPUTS│Performance Commitments'!$G$3:$I$3, 0 ) + 4, 0 ), "-" )</f>
        <v>6904</v>
      </c>
      <c r="Q87" s="101" t="str">
        <f ca="1" xml:space="preserve"> IF( $D87 &gt; 1, OFFSET( 'INPUTS│Performance Commitments'!$F$141, MATCH( $C87, 'INPUTS│Performance Commitments'!$C$141:$C$160, 0 ), MATCH( $P$4, 'INPUTS│Performance Commitments'!$G$3:$I$3, 0 ) ), "-" )</f>
        <v>-</v>
      </c>
      <c r="R87" s="77" t="str">
        <f t="shared" si="28"/>
        <v>Failed</v>
      </c>
      <c r="S87" s="77" t="str">
        <f t="shared" ca="1" si="29"/>
        <v>-</v>
      </c>
      <c r="T87" s="238">
        <f t="shared" ref="T87:T94" ca="1" si="31" xml:space="preserve"> IF( P87 = "-", "-", COUNTIF( R87:S87, "Met" ) / $D87 )</f>
        <v>0</v>
      </c>
      <c r="V87" s="229">
        <f xml:space="preserve"> _xlfn.IFNA( VLOOKUP( $C87, 'INPUTS│Performance Commitments'!$C$164:$L$183, MATCH( V$4, 'INPUTS│Performance Commitments'!$K$3:$L$3, 0 ) + 8, 0 ), "-" )</f>
        <v>1.444978864281991</v>
      </c>
      <c r="W87" s="229" t="str">
        <f ca="1" xml:space="preserve"> IF( $D87 &gt; 1, OFFSET( 'INPUTS│Performance Commitments'!$J$164, MATCH( $C87, 'INPUTS│Performance Commitments'!$C$164:$C$183, 0 ), MATCH( $V$4, 'INPUTS│Performance Commitments'!$K$3:$L$3, 0 ) ), "-" )</f>
        <v>-</v>
      </c>
      <c r="X87" s="229">
        <f xml:space="preserve"> _xlfn.IFNA( VLOOKUP( $C87, 'INPUTS│Performance Commitments'!$C$141:$L$160, MATCH( X$4, 'INPUTS│Performance Commitments'!$K$3:$L$3, 0 ) + 8, 0 ), "-" )</f>
        <v>0.95410616669882031</v>
      </c>
      <c r="Y87" s="229" t="str">
        <f ca="1" xml:space="preserve"> IF( $D87 &gt; 1, OFFSET( 'INPUTS│Performance Commitments'!$J$141, MATCH( $C87, 'INPUTS│Performance Commitments'!$C$141:$C$160, 0 ), MATCH( $X$4, 'INPUTS│Performance Commitments'!$K$3:$L$3, 0 ) ), "-" )</f>
        <v>-</v>
      </c>
    </row>
    <row r="88" spans="3:25" outlineLevel="1" x14ac:dyDescent="0.25">
      <c r="C88" s="8" t="s">
        <v>100</v>
      </c>
      <c r="D88" s="171">
        <f xml:space="preserve"> COUNTIF( 'INPUTS│Performance Commitments'!$C$141:$C$160, C88 )</f>
        <v>1</v>
      </c>
      <c r="F88" s="101">
        <f xml:space="preserve"> _xlfn.IFNA( VLOOKUP( $C88, 'INPUTS│Performance Commitments'!$C$164:$I$183, MATCH( F$4, 'INPUTS│Performance Commitments'!$G$3:$I$3, 0 ) + 4, 0 ), "-" )</f>
        <v>2010</v>
      </c>
      <c r="G88" s="101" t="str">
        <f ca="1" xml:space="preserve"> IF( $D88 &gt; 1, OFFSET( 'INPUTS│Performance Commitments'!$F$164, MATCH( $C88, 'INPUTS│Performance Commitments'!$C$164:$C$183, 0 ), MATCH( $F$4, 'INPUTS│Performance Commitments'!$G$3:$I$3, 0 ) ), "-" )</f>
        <v>-</v>
      </c>
      <c r="H88" s="101">
        <f xml:space="preserve"> _xlfn.IFNA( VLOOKUP( $C88, 'INPUTS│Performance Commitments'!$C$141:$I$160, MATCH( H$4, 'INPUTS│Performance Commitments'!$G$3:$I$3, 0 ) + 4, 0 ), "-" )</f>
        <v>1608</v>
      </c>
      <c r="I88" s="101" t="str">
        <f ca="1" xml:space="preserve"> IF( $D88 &gt; 1, OFFSET( 'INPUTS│Performance Commitments'!$F$141, MATCH( $C88, 'INPUTS│Performance Commitments'!$C$141:$C$160, 0 ), MATCH( $H$4, 'INPUTS│Performance Commitments'!$G$3:$I$3, 0 ) ), "-" )</f>
        <v>-</v>
      </c>
      <c r="J88" s="77" t="str">
        <f t="shared" si="26"/>
        <v>Failed</v>
      </c>
      <c r="K88" s="77" t="str">
        <f t="shared" ca="1" si="27"/>
        <v>-</v>
      </c>
      <c r="L88" s="238">
        <f t="shared" ca="1" si="30"/>
        <v>0</v>
      </c>
      <c r="N88" s="101">
        <f xml:space="preserve"> _xlfn.IFNA( VLOOKUP( $C88, 'INPUTS│Performance Commitments'!$C$164:$I$183, MATCH( N$4, 'INPUTS│Performance Commitments'!$G$3:$I$3, 0 ) + 4, 0 ), "-" )</f>
        <v>2097</v>
      </c>
      <c r="O88" s="101" t="str">
        <f ca="1" xml:space="preserve"> IF( $D88 &gt; 1, OFFSET( 'INPUTS│Performance Commitments'!$F$164, MATCH( $C88, 'INPUTS│Performance Commitments'!$C$164:$C$183, 0 ), MATCH( $N$4, 'INPUTS│Performance Commitments'!$G$3:$I$3, 0 ) ), "-" )</f>
        <v>-</v>
      </c>
      <c r="P88" s="101">
        <f xml:space="preserve"> _xlfn.IFNA( VLOOKUP( $C88, 'INPUTS│Performance Commitments'!$C$141:$I$160, MATCH( P$4, 'INPUTS│Performance Commitments'!$G$3:$I$3, 0 ) + 4, 0 ), "-" )</f>
        <v>1608</v>
      </c>
      <c r="Q88" s="101" t="str">
        <f ca="1" xml:space="preserve"> IF( $D88 &gt; 1, OFFSET( 'INPUTS│Performance Commitments'!$F$141, MATCH( $C88, 'INPUTS│Performance Commitments'!$C$141:$C$160, 0 ), MATCH( $P$4, 'INPUTS│Performance Commitments'!$G$3:$I$3, 0 ) ), "-" )</f>
        <v>-</v>
      </c>
      <c r="R88" s="77" t="str">
        <f t="shared" si="28"/>
        <v>Failed</v>
      </c>
      <c r="S88" s="77" t="str">
        <f t="shared" ca="1" si="29"/>
        <v>-</v>
      </c>
      <c r="T88" s="238">
        <f t="shared" ca="1" si="31"/>
        <v>0</v>
      </c>
      <c r="V88" s="229">
        <f xml:space="preserve"> _xlfn.IFNA( VLOOKUP( $C88, 'INPUTS│Performance Commitments'!$C$164:$L$183, MATCH( V$4, 'INPUTS│Performance Commitments'!$K$3:$L$3, 0 ) + 8, 0 ), "-" )</f>
        <v>1.59</v>
      </c>
      <c r="W88" s="229" t="str">
        <f ca="1" xml:space="preserve"> IF( $D88 &gt; 1, OFFSET( 'INPUTS│Performance Commitments'!$J$164, MATCH( $C88, 'INPUTS│Performance Commitments'!$C$164:$C$183, 0 ), MATCH( $V$4, 'INPUTS│Performance Commitments'!$K$3:$L$3, 0 ) ), "-" )</f>
        <v>-</v>
      </c>
      <c r="X88" s="229">
        <f xml:space="preserve"> _xlfn.IFNA( VLOOKUP( $C88, 'INPUTS│Performance Commitments'!$C$141:$L$160, MATCH( X$4, 'INPUTS│Performance Commitments'!$K$3:$L$3, 0 ) + 8, 0 ), "-" )</f>
        <v>1.23</v>
      </c>
      <c r="Y88" s="229" t="str">
        <f ca="1" xml:space="preserve"> IF( $D88 &gt; 1, OFFSET( 'INPUTS│Performance Commitments'!$J$141, MATCH( $C88, 'INPUTS│Performance Commitments'!$C$141:$C$160, 0 ), MATCH( $X$4, 'INPUTS│Performance Commitments'!$K$3:$L$3, 0 ) ), "-" )</f>
        <v>-</v>
      </c>
    </row>
    <row r="89" spans="3:25" outlineLevel="1" x14ac:dyDescent="0.25">
      <c r="C89" s="8" t="s">
        <v>102</v>
      </c>
      <c r="D89" s="171">
        <f xml:space="preserve"> COUNTIF( 'INPUTS│Performance Commitments'!$C$141:$C$160, C89 )</f>
        <v>1</v>
      </c>
      <c r="F89" s="101">
        <f xml:space="preserve"> _xlfn.IFNA( VLOOKUP( $C89, 'INPUTS│Performance Commitments'!$C$164:$I$183, MATCH( F$4, 'INPUTS│Performance Commitments'!$G$3:$I$3, 0 ) + 4, 0 ), "-" )</f>
        <v>7964</v>
      </c>
      <c r="G89" s="101" t="str">
        <f ca="1" xml:space="preserve"> IF( $D89 &gt; 1, OFFSET( 'INPUTS│Performance Commitments'!$F$164, MATCH( $C89, 'INPUTS│Performance Commitments'!$C$164:$C$183, 0 ), MATCH( $F$4, 'INPUTS│Performance Commitments'!$G$3:$I$3, 0 ) ), "-" )</f>
        <v>-</v>
      </c>
      <c r="H89" s="101">
        <f xml:space="preserve"> _xlfn.IFNA( VLOOKUP( $C89, 'INPUTS│Performance Commitments'!$C$141:$I$160, MATCH( H$4, 'INPUTS│Performance Commitments'!$G$3:$I$3, 0 ) + 4, 0 ), "-" )</f>
        <v>6108</v>
      </c>
      <c r="I89" s="101" t="str">
        <f ca="1" xml:space="preserve"> IF( $D89 &gt; 1, OFFSET( 'INPUTS│Performance Commitments'!$F$141, MATCH( $C89, 'INPUTS│Performance Commitments'!$C$141:$C$160, 0 ), MATCH( $H$4, 'INPUTS│Performance Commitments'!$G$3:$I$3, 0 ) ), "-" )</f>
        <v>-</v>
      </c>
      <c r="J89" s="77" t="str">
        <f t="shared" si="26"/>
        <v>Failed</v>
      </c>
      <c r="K89" s="77" t="str">
        <f t="shared" ca="1" si="27"/>
        <v>-</v>
      </c>
      <c r="L89" s="238">
        <f t="shared" ca="1" si="30"/>
        <v>0</v>
      </c>
      <c r="N89" s="101">
        <f xml:space="preserve"> _xlfn.IFNA( VLOOKUP( $C89, 'INPUTS│Performance Commitments'!$C$164:$I$183, MATCH( N$4, 'INPUTS│Performance Commitments'!$G$3:$I$3, 0 ) + 4, 0 ), "-" )</f>
        <v>6368</v>
      </c>
      <c r="O89" s="101" t="str">
        <f ca="1" xml:space="preserve"> IF( $D89 &gt; 1, OFFSET( 'INPUTS│Performance Commitments'!$F$164, MATCH( $C89, 'INPUTS│Performance Commitments'!$C$164:$C$183, 0 ), MATCH( $N$4, 'INPUTS│Performance Commitments'!$G$3:$I$3, 0 ) ), "-" )</f>
        <v>-</v>
      </c>
      <c r="P89" s="101">
        <f xml:space="preserve"> _xlfn.IFNA( VLOOKUP( $C89, 'INPUTS│Performance Commitments'!$C$141:$I$160, MATCH( P$4, 'INPUTS│Performance Commitments'!$G$3:$I$3, 0 ) + 4, 0 ), "-" )</f>
        <v>6108</v>
      </c>
      <c r="Q89" s="101" t="str">
        <f ca="1" xml:space="preserve"> IF( $D89 &gt; 1, OFFSET( 'INPUTS│Performance Commitments'!$F$141, MATCH( $C89, 'INPUTS│Performance Commitments'!$C$141:$C$160, 0 ), MATCH( $P$4, 'INPUTS│Performance Commitments'!$G$3:$I$3, 0 ) ), "-" )</f>
        <v>-</v>
      </c>
      <c r="R89" s="77" t="str">
        <f t="shared" si="28"/>
        <v>Failed</v>
      </c>
      <c r="S89" s="77" t="str">
        <f t="shared" ca="1" si="29"/>
        <v>-</v>
      </c>
      <c r="T89" s="238">
        <f t="shared" ca="1" si="31"/>
        <v>0</v>
      </c>
      <c r="V89" s="229">
        <f xml:space="preserve"> _xlfn.IFNA( VLOOKUP( $C89, 'INPUTS│Performance Commitments'!$C$164:$L$183, MATCH( V$4, 'INPUTS│Performance Commitments'!$K$3:$L$3, 0 ) + 8, 0 ), "-" )</f>
        <v>1.2557349105742424</v>
      </c>
      <c r="W89" s="229" t="str">
        <f ca="1" xml:space="preserve"> IF( $D89 &gt; 1, OFFSET( 'INPUTS│Performance Commitments'!$J$164, MATCH( $C89, 'INPUTS│Performance Commitments'!$C$164:$C$183, 0 ), MATCH( $V$4, 'INPUTS│Performance Commitments'!$K$3:$L$3, 0 ) ), "-" )</f>
        <v>-</v>
      </c>
      <c r="X89" s="229">
        <f xml:space="preserve"> _xlfn.IFNA( VLOOKUP( $C89, 'INPUTS│Performance Commitments'!$C$141:$L$160, MATCH( X$4, 'INPUTS│Performance Commitments'!$K$3:$L$3, 0 ) + 8, 0 ), "-" )</f>
        <v>1.204464326913862</v>
      </c>
      <c r="Y89" s="229" t="str">
        <f ca="1" xml:space="preserve"> IF( $D89 &gt; 1, OFFSET( 'INPUTS│Performance Commitments'!$J$141, MATCH( $C89, 'INPUTS│Performance Commitments'!$C$141:$C$160, 0 ), MATCH( $X$4, 'INPUTS│Performance Commitments'!$K$3:$L$3, 0 ) ), "-" )</f>
        <v>-</v>
      </c>
    </row>
    <row r="90" spans="3:25" outlineLevel="1" x14ac:dyDescent="0.25">
      <c r="C90" s="8" t="s">
        <v>104</v>
      </c>
      <c r="D90" s="171">
        <f xml:space="preserve"> COUNTIF( 'INPUTS│Performance Commitments'!$C$141:$C$160, C90 )</f>
        <v>1</v>
      </c>
      <c r="F90" s="100">
        <f xml:space="preserve"> _xlfn.IFNA( VLOOKUP( $C90, 'INPUTS│Performance Commitments'!$C$164:$I$183, MATCH( F$4, 'INPUTS│Performance Commitments'!$G$3:$I$3, 0 ) + 4, 0 ), "-" )</f>
        <v>0.23</v>
      </c>
      <c r="G90" s="100" t="str">
        <f ca="1" xml:space="preserve"> IF( $D90 &gt; 1, OFFSET( 'INPUTS│Performance Commitments'!$F$164, MATCH( $C90, 'INPUTS│Performance Commitments'!$C$164:$C$183, 0 ), MATCH( $F$4, 'INPUTS│Performance Commitments'!$G$3:$I$3, 0 ) ), "-" )</f>
        <v>-</v>
      </c>
      <c r="H90" s="100">
        <f xml:space="preserve"> _xlfn.IFNA( VLOOKUP( $C90, 'INPUTS│Performance Commitments'!$C$141:$I$160, MATCH( H$4, 'INPUTS│Performance Commitments'!$G$3:$I$3, 0 ) + 4, 0 ), "-" )</f>
        <v>0.66</v>
      </c>
      <c r="I90" s="100" t="str">
        <f ca="1" xml:space="preserve"> IF( $D90 &gt; 1, OFFSET( 'INPUTS│Performance Commitments'!$F$141, MATCH( $C90, 'INPUTS│Performance Commitments'!$C$141:$C$160, 0 ), MATCH( $H$4, 'INPUTS│Performance Commitments'!$G$3:$I$3, 0 ) ), "-" )</f>
        <v>-</v>
      </c>
      <c r="J90" s="77" t="str">
        <f t="shared" si="26"/>
        <v>Met</v>
      </c>
      <c r="K90" s="77" t="str">
        <f t="shared" ca="1" si="27"/>
        <v>-</v>
      </c>
      <c r="L90" s="238">
        <f t="shared" ca="1" si="30"/>
        <v>1</v>
      </c>
      <c r="N90" s="100">
        <f xml:space="preserve"> _xlfn.IFNA( VLOOKUP( $C90, 'INPUTS│Performance Commitments'!$C$164:$I$183, MATCH( N$4, 'INPUTS│Performance Commitments'!$G$3:$I$3, 0 ) + 4, 0 ), "-" )</f>
        <v>0.25</v>
      </c>
      <c r="O90" s="100" t="str">
        <f ca="1" xml:space="preserve"> IF( $D90 &gt; 1, OFFSET( 'INPUTS│Performance Commitments'!$F$164, MATCH( $C90, 'INPUTS│Performance Commitments'!$C$164:$C$183, 0 ), MATCH( $N$4, 'INPUTS│Performance Commitments'!$G$3:$I$3, 0 ) ), "-" )</f>
        <v>-</v>
      </c>
      <c r="P90" s="100">
        <f xml:space="preserve"> _xlfn.IFNA( VLOOKUP( $C90, 'INPUTS│Performance Commitments'!$C$141:$I$160, MATCH( P$4, 'INPUTS│Performance Commitments'!$G$3:$I$3, 0 ) + 4, 0 ), "-" )</f>
        <v>0.66</v>
      </c>
      <c r="Q90" s="100" t="str">
        <f ca="1" xml:space="preserve"> IF( $D90 &gt; 1, OFFSET( 'INPUTS│Performance Commitments'!$F$141, MATCH( $C90, 'INPUTS│Performance Commitments'!$C$141:$C$160, 0 ), MATCH( $P$4, 'INPUTS│Performance Commitments'!$G$3:$I$3, 0 ) ), "-" )</f>
        <v>-</v>
      </c>
      <c r="R90" s="77" t="str">
        <f t="shared" si="28"/>
        <v>Met</v>
      </c>
      <c r="S90" s="77" t="str">
        <f t="shared" ca="1" si="29"/>
        <v>-</v>
      </c>
      <c r="T90" s="238">
        <f t="shared" ca="1" si="31"/>
        <v>1</v>
      </c>
      <c r="V90" s="229">
        <f xml:space="preserve"> _xlfn.IFNA( VLOOKUP( $C90, 'INPUTS│Performance Commitments'!$C$164:$L$183, MATCH( V$4, 'INPUTS│Performance Commitments'!$K$3:$L$3, 0 ) + 8, 0 ), "-" )</f>
        <v>0.25</v>
      </c>
      <c r="W90" s="229" t="str">
        <f ca="1" xml:space="preserve"> IF( $D90 &gt; 1, OFFSET( 'INPUTS│Performance Commitments'!$J$164, MATCH( $C90, 'INPUTS│Performance Commitments'!$C$164:$C$183, 0 ), MATCH( $V$4, 'INPUTS│Performance Commitments'!$K$3:$L$3, 0 ) ), "-" )</f>
        <v>-</v>
      </c>
      <c r="X90" s="229">
        <f xml:space="preserve"> _xlfn.IFNA( VLOOKUP( $C90, 'INPUTS│Performance Commitments'!$C$141:$L$160, MATCH( X$4, 'INPUTS│Performance Commitments'!$K$3:$L$3, 0 ) + 8, 0 ), "-" )</f>
        <v>0.66</v>
      </c>
      <c r="Y90" s="229" t="str">
        <f ca="1" xml:space="preserve"> IF( $D90 &gt; 1, OFFSET( 'INPUTS│Performance Commitments'!$J$141, MATCH( $C90, 'INPUTS│Performance Commitments'!$C$141:$C$160, 0 ), MATCH( $X$4, 'INPUTS│Performance Commitments'!$K$3:$L$3, 0 ) ), "-" )</f>
        <v>-</v>
      </c>
    </row>
    <row r="91" spans="3:25" outlineLevel="1" x14ac:dyDescent="0.25">
      <c r="C91" s="8" t="s">
        <v>106</v>
      </c>
      <c r="D91" s="171">
        <f xml:space="preserve"> COUNTIF( 'INPUTS│Performance Commitments'!$C$141:$C$160, C91 )</f>
        <v>1</v>
      </c>
      <c r="F91" s="101">
        <f xml:space="preserve"> _xlfn.IFNA( VLOOKUP( $C91, 'INPUTS│Performance Commitments'!$C$164:$I$183, MATCH( F$4, 'INPUTS│Performance Commitments'!$G$3:$I$3, 0 ) + 4, 0 ), "-" )</f>
        <v>1934</v>
      </c>
      <c r="G91" s="101" t="str">
        <f ca="1" xml:space="preserve"> IF( $D91 &gt; 1, OFFSET( 'INPUTS│Performance Commitments'!$F$164, MATCH( $C91, 'INPUTS│Performance Commitments'!$C$164:$C$183, 0 ), MATCH( $F$4, 'INPUTS│Performance Commitments'!$G$3:$I$3, 0 ) ), "-" )</f>
        <v>-</v>
      </c>
      <c r="H91" s="101">
        <f xml:space="preserve"> _xlfn.IFNA( VLOOKUP( $C91, 'INPUTS│Performance Commitments'!$C$141:$I$160, MATCH( H$4, 'INPUTS│Performance Commitments'!$G$3:$I$3, 0 ) + 4, 0 ), "-" )</f>
        <v>2275</v>
      </c>
      <c r="I91" s="101" t="str">
        <f ca="1" xml:space="preserve"> IF( $D91 &gt; 1, OFFSET( 'INPUTS│Performance Commitments'!$F$141, MATCH( $C91, 'INPUTS│Performance Commitments'!$C$141:$C$160, 0 ), MATCH( $H$4, 'INPUTS│Performance Commitments'!$G$3:$I$3, 0 ) ), "-" )</f>
        <v>-</v>
      </c>
      <c r="J91" s="77" t="str">
        <f t="shared" si="26"/>
        <v>Met</v>
      </c>
      <c r="K91" s="77" t="str">
        <f t="shared" ca="1" si="27"/>
        <v>-</v>
      </c>
      <c r="L91" s="238">
        <f t="shared" ca="1" si="30"/>
        <v>1</v>
      </c>
      <c r="N91" s="101">
        <f xml:space="preserve"> _xlfn.IFNA( VLOOKUP( $C91, 'INPUTS│Performance Commitments'!$C$164:$I$183, MATCH( N$4, 'INPUTS│Performance Commitments'!$G$3:$I$3, 0 ) + 4, 0 ), "-" )</f>
        <v>1712</v>
      </c>
      <c r="O91" s="101" t="str">
        <f ca="1" xml:space="preserve"> IF( $D91 &gt; 1, OFFSET( 'INPUTS│Performance Commitments'!$F$164, MATCH( $C91, 'INPUTS│Performance Commitments'!$C$164:$C$183, 0 ), MATCH( $N$4, 'INPUTS│Performance Commitments'!$G$3:$I$3, 0 ) ), "-" )</f>
        <v>-</v>
      </c>
      <c r="P91" s="101">
        <f xml:space="preserve"> _xlfn.IFNA( VLOOKUP( $C91, 'INPUTS│Performance Commitments'!$C$141:$I$160, MATCH( P$4, 'INPUTS│Performance Commitments'!$G$3:$I$3, 0 ) + 4, 0 ), "-" )</f>
        <v>2221</v>
      </c>
      <c r="Q91" s="101" t="str">
        <f ca="1" xml:space="preserve"> IF( $D91 &gt; 1, OFFSET( 'INPUTS│Performance Commitments'!$F$141, MATCH( $C91, 'INPUTS│Performance Commitments'!$C$141:$C$160, 0 ), MATCH( $P$4, 'INPUTS│Performance Commitments'!$G$3:$I$3, 0 ) ), "-" )</f>
        <v>-</v>
      </c>
      <c r="R91" s="77" t="str">
        <f t="shared" si="28"/>
        <v>Met</v>
      </c>
      <c r="S91" s="77" t="str">
        <f t="shared" ca="1" si="29"/>
        <v>-</v>
      </c>
      <c r="T91" s="238">
        <f t="shared" ca="1" si="31"/>
        <v>1</v>
      </c>
      <c r="V91" s="229">
        <f xml:space="preserve"> _xlfn.IFNA( VLOOKUP( $C91, 'INPUTS│Performance Commitments'!$C$164:$L$183, MATCH( V$4, 'INPUTS│Performance Commitments'!$K$3:$L$3, 0 ) + 8, 0 ), "-" )</f>
        <v>1.42</v>
      </c>
      <c r="W91" s="229" t="str">
        <f ca="1" xml:space="preserve"> IF( $D91 &gt; 1, OFFSET( 'INPUTS│Performance Commitments'!$J$164, MATCH( $C91, 'INPUTS│Performance Commitments'!$C$164:$C$183, 0 ), MATCH( $V$4, 'INPUTS│Performance Commitments'!$K$3:$L$3, 0 ) ), "-" )</f>
        <v>-</v>
      </c>
      <c r="X91" s="229">
        <f xml:space="preserve"> _xlfn.IFNA( VLOOKUP( $C91, 'INPUTS│Performance Commitments'!$C$141:$L$160, MATCH( X$4, 'INPUTS│Performance Commitments'!$K$3:$L$3, 0 ) + 8, 0 ), "-" )</f>
        <v>1.84</v>
      </c>
      <c r="Y91" s="229" t="str">
        <f ca="1" xml:space="preserve"> IF( $D91 &gt; 1, OFFSET( 'INPUTS│Performance Commitments'!$J$141, MATCH( $C91, 'INPUTS│Performance Commitments'!$C$141:$C$160, 0 ), MATCH( $X$4, 'INPUTS│Performance Commitments'!$K$3:$L$3, 0 ) ), "-" )</f>
        <v>-</v>
      </c>
    </row>
    <row r="92" spans="3:25" outlineLevel="1" x14ac:dyDescent="0.25">
      <c r="C92" s="8" t="s">
        <v>108</v>
      </c>
      <c r="D92" s="171">
        <f xml:space="preserve"> COUNTIF( 'INPUTS│Performance Commitments'!$C$141:$C$160, C92 )</f>
        <v>1</v>
      </c>
      <c r="F92" s="100">
        <f xml:space="preserve"> _xlfn.IFNA( VLOOKUP( $C92, 'INPUTS│Performance Commitments'!$C$164:$I$183, MATCH( F$4, 'INPUTS│Performance Commitments'!$G$3:$I$3, 0 ) + 4, 0 ), "-" )</f>
        <v>0.437</v>
      </c>
      <c r="G92" s="100" t="str">
        <f ca="1" xml:space="preserve"> IF( $D92 &gt; 1, OFFSET( 'INPUTS│Performance Commitments'!$F$164, MATCH( $C92, 'INPUTS│Performance Commitments'!$C$164:$C$183, 0 ), MATCH( $F$4, 'INPUTS│Performance Commitments'!$G$3:$I$3, 0 ) ), "-" )</f>
        <v>-</v>
      </c>
      <c r="H92" s="100">
        <f xml:space="preserve"> _xlfn.IFNA( VLOOKUP( $C92, 'INPUTS│Performance Commitments'!$C$141:$I$160, MATCH( H$4, 'INPUTS│Performance Commitments'!$G$3:$I$3, 0 ) + 4, 0 ), "-" )</f>
        <v>0.41699999999999998</v>
      </c>
      <c r="I92" s="100" t="str">
        <f ca="1" xml:space="preserve"> IF( $D92 &gt; 1, OFFSET( 'INPUTS│Performance Commitments'!$F$141, MATCH( $C92, 'INPUTS│Performance Commitments'!$C$141:$C$160, 0 ), MATCH( $H$4, 'INPUTS│Performance Commitments'!$G$3:$I$3, 0 ) ), "-" )</f>
        <v>-</v>
      </c>
      <c r="J92" s="77" t="str">
        <f t="shared" si="26"/>
        <v>Failed</v>
      </c>
      <c r="K92" s="77" t="str">
        <f t="shared" ca="1" si="27"/>
        <v>-</v>
      </c>
      <c r="L92" s="238">
        <f t="shared" ca="1" si="30"/>
        <v>0</v>
      </c>
      <c r="N92" s="100">
        <f xml:space="preserve"> _xlfn.IFNA( VLOOKUP( $C92, 'INPUTS│Performance Commitments'!$C$164:$I$183, MATCH( N$4, 'INPUTS│Performance Commitments'!$G$3:$I$3, 0 ) + 4, 0 ), "-" )</f>
        <v>0.39495798319327702</v>
      </c>
      <c r="O92" s="100" t="str">
        <f ca="1" xml:space="preserve"> IF( $D92 &gt; 1, OFFSET( 'INPUTS│Performance Commitments'!$F$164, MATCH( $C92, 'INPUTS│Performance Commitments'!$C$164:$C$183, 0 ), MATCH( $N$4, 'INPUTS│Performance Commitments'!$G$3:$I$3, 0 ) ), "-" )</f>
        <v>-</v>
      </c>
      <c r="P92" s="100">
        <f xml:space="preserve"> _xlfn.IFNA( VLOOKUP( $C92, 'INPUTS│Performance Commitments'!$C$141:$I$160, MATCH( P$4, 'INPUTS│Performance Commitments'!$G$3:$I$3, 0 ) + 4, 0 ), "-" )</f>
        <v>0.41299999999999998</v>
      </c>
      <c r="Q92" s="100" t="str">
        <f ca="1" xml:space="preserve"> IF( $D92 &gt; 1, OFFSET( 'INPUTS│Performance Commitments'!$F$141, MATCH( $C92, 'INPUTS│Performance Commitments'!$C$141:$C$160, 0 ), MATCH( $P$4, 'INPUTS│Performance Commitments'!$G$3:$I$3, 0 ) ), "-" )</f>
        <v>-</v>
      </c>
      <c r="R92" s="77" t="str">
        <f t="shared" si="28"/>
        <v>Met</v>
      </c>
      <c r="S92" s="77" t="str">
        <f t="shared" ca="1" si="29"/>
        <v>-</v>
      </c>
      <c r="T92" s="238">
        <f t="shared" ca="1" si="31"/>
        <v>1</v>
      </c>
      <c r="V92" s="229">
        <f xml:space="preserve"> _xlfn.IFNA( VLOOKUP( $C92, 'INPUTS│Performance Commitments'!$C$164:$L$183, MATCH( V$4, 'INPUTS│Performance Commitments'!$K$3:$L$3, 0 ) + 8, 0 ), "-" )</f>
        <v>0.39495798319327702</v>
      </c>
      <c r="W92" s="229" t="str">
        <f ca="1" xml:space="preserve"> IF( $D92 &gt; 1, OFFSET( 'INPUTS│Performance Commitments'!$J$164, MATCH( $C92, 'INPUTS│Performance Commitments'!$C$164:$C$183, 0 ), MATCH( $V$4, 'INPUTS│Performance Commitments'!$K$3:$L$3, 0 ) ), "-" )</f>
        <v>-</v>
      </c>
      <c r="X92" s="229">
        <f xml:space="preserve"> _xlfn.IFNA( VLOOKUP( $C92, 'INPUTS│Performance Commitments'!$C$141:$L$160, MATCH( X$4, 'INPUTS│Performance Commitments'!$K$3:$L$3, 0 ) + 8, 0 ), "-" )</f>
        <v>0.41299999999999998</v>
      </c>
      <c r="Y92" s="229" t="str">
        <f ca="1" xml:space="preserve"> IF( $D92 &gt; 1, OFFSET( 'INPUTS│Performance Commitments'!$J$141, MATCH( $C92, 'INPUTS│Performance Commitments'!$C$141:$C$160, 0 ), MATCH( $X$4, 'INPUTS│Performance Commitments'!$K$3:$L$3, 0 ) ), "-" )</f>
        <v>-</v>
      </c>
    </row>
    <row r="93" spans="3:25" outlineLevel="1" x14ac:dyDescent="0.25">
      <c r="C93" s="8" t="s">
        <v>112</v>
      </c>
      <c r="D93" s="171">
        <f xml:space="preserve"> COUNTIF( 'INPUTS│Performance Commitments'!$C$141:$C$160, C93 )</f>
        <v>1</v>
      </c>
      <c r="F93" s="100">
        <f xml:space="preserve"> _xlfn.IFNA( VLOOKUP( $C93, 'INPUTS│Performance Commitments'!$C$164:$I$183, MATCH( F$4, 'INPUTS│Performance Commitments'!$G$3:$I$3, 0 ) + 4, 0 ), "-" )</f>
        <v>0.59</v>
      </c>
      <c r="G93" s="100" t="str">
        <f ca="1" xml:space="preserve"> IF( $D93 &gt; 1, OFFSET( 'INPUTS│Performance Commitments'!$F$164, MATCH( $C93, 'INPUTS│Performance Commitments'!$C$164:$C$183, 0 ), MATCH( $F$4, 'INPUTS│Performance Commitments'!$G$3:$I$3, 0 ) ), "-" )</f>
        <v>-</v>
      </c>
      <c r="H93" s="100">
        <f xml:space="preserve"> _xlfn.IFNA( VLOOKUP( $C93, 'INPUTS│Performance Commitments'!$C$141:$I$160, MATCH( H$4, 'INPUTS│Performance Commitments'!$G$3:$I$3, 0 ) + 4, 0 ), "-" )</f>
        <v>0.57999999999999996</v>
      </c>
      <c r="I93" s="100" t="str">
        <f ca="1" xml:space="preserve"> IF( $D93 &gt; 1, OFFSET( 'INPUTS│Performance Commitments'!$F$141, MATCH( $C93, 'INPUTS│Performance Commitments'!$C$141:$C$160, 0 ), MATCH( $H$4, 'INPUTS│Performance Commitments'!$G$3:$I$3, 0 ) ), "-" )</f>
        <v>-</v>
      </c>
      <c r="J93" s="77" t="str">
        <f t="shared" si="26"/>
        <v>Failed</v>
      </c>
      <c r="K93" s="77" t="str">
        <f t="shared" ca="1" si="27"/>
        <v>-</v>
      </c>
      <c r="L93" s="238">
        <f t="shared" ca="1" si="30"/>
        <v>0</v>
      </c>
      <c r="N93" s="100">
        <f xml:space="preserve"> _xlfn.IFNA( VLOOKUP( $C93, 'INPUTS│Performance Commitments'!$C$164:$I$183, MATCH( N$4, 'INPUTS│Performance Commitments'!$G$3:$I$3, 0 ) + 4, 0 ), "-" )</f>
        <v>0.53</v>
      </c>
      <c r="O93" s="100" t="str">
        <f ca="1" xml:space="preserve"> IF( $D93 &gt; 1, OFFSET( 'INPUTS│Performance Commitments'!$F$164, MATCH( $C93, 'INPUTS│Performance Commitments'!$C$164:$C$183, 0 ), MATCH( $N$4, 'INPUTS│Performance Commitments'!$G$3:$I$3, 0 ) ), "-" )</f>
        <v>-</v>
      </c>
      <c r="P93" s="100">
        <f xml:space="preserve"> _xlfn.IFNA( VLOOKUP( $C93, 'INPUTS│Performance Commitments'!$C$141:$I$160, MATCH( P$4, 'INPUTS│Performance Commitments'!$G$3:$I$3, 0 ) + 4, 0 ), "-" )</f>
        <v>0.57999999999999996</v>
      </c>
      <c r="Q93" s="100" t="str">
        <f ca="1" xml:space="preserve"> IF( $D93 &gt; 1, OFFSET( 'INPUTS│Performance Commitments'!$F$141, MATCH( $C93, 'INPUTS│Performance Commitments'!$C$141:$C$160, 0 ), MATCH( $P$4, 'INPUTS│Performance Commitments'!$G$3:$I$3, 0 ) ), "-" )</f>
        <v>-</v>
      </c>
      <c r="R93" s="77" t="str">
        <f t="shared" si="28"/>
        <v>Met</v>
      </c>
      <c r="S93" s="77" t="str">
        <f t="shared" ca="1" si="29"/>
        <v>-</v>
      </c>
      <c r="T93" s="238">
        <f t="shared" ca="1" si="31"/>
        <v>1</v>
      </c>
      <c r="V93" s="229">
        <f xml:space="preserve"> _xlfn.IFNA( VLOOKUP( $C93, 'INPUTS│Performance Commitments'!$C$164:$L$183, MATCH( V$4, 'INPUTS│Performance Commitments'!$K$3:$L$3, 0 ) + 8, 0 ), "-" )</f>
        <v>0.53</v>
      </c>
      <c r="W93" s="229" t="str">
        <f ca="1" xml:space="preserve"> IF( $D93 &gt; 1, OFFSET( 'INPUTS│Performance Commitments'!$J$164, MATCH( $C93, 'INPUTS│Performance Commitments'!$C$164:$C$183, 0 ), MATCH( $V$4, 'INPUTS│Performance Commitments'!$K$3:$L$3, 0 ) ), "-" )</f>
        <v>-</v>
      </c>
      <c r="X93" s="229">
        <f xml:space="preserve"> _xlfn.IFNA( VLOOKUP( $C93, 'INPUTS│Performance Commitments'!$C$141:$L$160, MATCH( X$4, 'INPUTS│Performance Commitments'!$K$3:$L$3, 0 ) + 8, 0 ), "-" )</f>
        <v>0.57999999999999996</v>
      </c>
      <c r="Y93" s="229" t="str">
        <f ca="1" xml:space="preserve"> IF( $D93 &gt; 1, OFFSET( 'INPUTS│Performance Commitments'!$J$141, MATCH( $C93, 'INPUTS│Performance Commitments'!$C$141:$C$160, 0 ), MATCH( $X$4, 'INPUTS│Performance Commitments'!$K$3:$L$3, 0 ) ), "-" )</f>
        <v>-</v>
      </c>
    </row>
    <row r="94" spans="3:25" outlineLevel="1" x14ac:dyDescent="0.25">
      <c r="C94" s="8" t="s">
        <v>114</v>
      </c>
      <c r="D94" s="171">
        <f xml:space="preserve"> COUNTIF( 'INPUTS│Performance Commitments'!$C$141:$C$160, C94 )</f>
        <v>1</v>
      </c>
      <c r="F94" s="100">
        <f xml:space="preserve"> _xlfn.IFNA( VLOOKUP( $C94, 'INPUTS│Performance Commitments'!$C$164:$I$183, MATCH( F$4, 'INPUTS│Performance Commitments'!$G$3:$I$3, 0 ) + 4, 0 ), "-" )</f>
        <v>1.51</v>
      </c>
      <c r="G94" s="100" t="str">
        <f ca="1" xml:space="preserve"> IF( $D94 &gt; 1, OFFSET( 'INPUTS│Performance Commitments'!$F$164, MATCH( $C94, 'INPUTS│Performance Commitments'!$C$164:$C$183, 0 ), MATCH( $F$4, 'INPUTS│Performance Commitments'!$G$3:$I$3, 0 ) ), "-" )</f>
        <v>-</v>
      </c>
      <c r="H94" s="100">
        <f xml:space="preserve"> _xlfn.IFNA( VLOOKUP( $C94, 'INPUTS│Performance Commitments'!$C$141:$I$160, MATCH( H$4, 'INPUTS│Performance Commitments'!$G$3:$I$3, 0 ) + 4, 0 ), "-" )</f>
        <v>1.23</v>
      </c>
      <c r="I94" s="100" t="str">
        <f ca="1" xml:space="preserve"> IF( $D94 &gt; 1, OFFSET( 'INPUTS│Performance Commitments'!$F$141, MATCH( $C94, 'INPUTS│Performance Commitments'!$C$141:$C$160, 0 ), MATCH( $H$4, 'INPUTS│Performance Commitments'!$G$3:$I$3, 0 ) ), "-" )</f>
        <v>-</v>
      </c>
      <c r="J94" s="77" t="str">
        <f t="shared" si="26"/>
        <v>Failed</v>
      </c>
      <c r="K94" s="77" t="str">
        <f t="shared" ca="1" si="27"/>
        <v>-</v>
      </c>
      <c r="L94" s="238">
        <f t="shared" ca="1" si="30"/>
        <v>0</v>
      </c>
      <c r="N94" s="100">
        <f xml:space="preserve"> _xlfn.IFNA( VLOOKUP( $C94, 'INPUTS│Performance Commitments'!$C$164:$I$183, MATCH( N$4, 'INPUTS│Performance Commitments'!$G$3:$I$3, 0 ) + 4, 0 ), "-" )</f>
        <v>1.19</v>
      </c>
      <c r="O94" s="100" t="str">
        <f ca="1" xml:space="preserve"> IF( $D94 &gt; 1, OFFSET( 'INPUTS│Performance Commitments'!$F$164, MATCH( $C94, 'INPUTS│Performance Commitments'!$C$164:$C$183, 0 ), MATCH( $N$4, 'INPUTS│Performance Commitments'!$G$3:$I$3, 0 ) ), "-" )</f>
        <v>-</v>
      </c>
      <c r="P94" s="100">
        <f xml:space="preserve"> _xlfn.IFNA( VLOOKUP( $C94, 'INPUTS│Performance Commitments'!$C$141:$I$160, MATCH( P$4, 'INPUTS│Performance Commitments'!$G$3:$I$3, 0 ) + 4, 0 ), "-" )</f>
        <v>1.23</v>
      </c>
      <c r="Q94" s="100" t="str">
        <f ca="1" xml:space="preserve"> IF( $D94 &gt; 1, OFFSET( 'INPUTS│Performance Commitments'!$F$141, MATCH( $C94, 'INPUTS│Performance Commitments'!$C$141:$C$160, 0 ), MATCH( $P$4, 'INPUTS│Performance Commitments'!$G$3:$I$3, 0 ) ), "-" )</f>
        <v>-</v>
      </c>
      <c r="R94" s="77" t="str">
        <f t="shared" si="28"/>
        <v>Met</v>
      </c>
      <c r="S94" s="77" t="str">
        <f t="shared" ca="1" si="29"/>
        <v>-</v>
      </c>
      <c r="T94" s="238">
        <f t="shared" ca="1" si="31"/>
        <v>1</v>
      </c>
      <c r="V94" s="229">
        <f xml:space="preserve"> _xlfn.IFNA( VLOOKUP( $C94, 'INPUTS│Performance Commitments'!$C$164:$L$183, MATCH( V$4, 'INPUTS│Performance Commitments'!$K$3:$L$3, 0 ) + 8, 0 ), "-" )</f>
        <v>1.19</v>
      </c>
      <c r="W94" s="229" t="str">
        <f ca="1" xml:space="preserve"> IF( $D94 &gt; 1, OFFSET( 'INPUTS│Performance Commitments'!$J$164, MATCH( $C94, 'INPUTS│Performance Commitments'!$C$164:$C$183, 0 ), MATCH( $V$4, 'INPUTS│Performance Commitments'!$K$3:$L$3, 0 ) ), "-" )</f>
        <v>-</v>
      </c>
      <c r="X94" s="229">
        <f xml:space="preserve"> _xlfn.IFNA( VLOOKUP( $C94, 'INPUTS│Performance Commitments'!$C$141:$L$160, MATCH( X$4, 'INPUTS│Performance Commitments'!$K$3:$L$3, 0 ) + 8, 0 ), "-" )</f>
        <v>1.23</v>
      </c>
      <c r="Y94" s="229" t="str">
        <f ca="1" xml:space="preserve"> IF( $D94 &gt; 1, OFFSET( 'INPUTS│Performance Commitments'!$J$141, MATCH( $C94, 'INPUTS│Performance Commitments'!$C$141:$C$160, 0 ), MATCH( $X$4, 'INPUTS│Performance Commitments'!$K$3:$L$3, 0 ) ), "-" )</f>
        <v>-</v>
      </c>
    </row>
    <row r="95" spans="3:25" outlineLevel="1" x14ac:dyDescent="0.25">
      <c r="C95" s="8" t="s">
        <v>110</v>
      </c>
      <c r="D95" s="171">
        <f xml:space="preserve"> COUNTIF( 'INPUTS│Performance Commitments'!$C$141:$C$160, C95 )</f>
        <v>1</v>
      </c>
      <c r="F95" s="101">
        <f xml:space="preserve"> _xlfn.IFNA( VLOOKUP( $C95, 'INPUTS│Performance Commitments'!$C$164:$I$183, MATCH( F$4, 'INPUTS│Performance Commitments'!$G$3:$I$3, 0 ) + 4, 0 ), "-" )</f>
        <v>388</v>
      </c>
      <c r="G95" s="101" t="str">
        <f ca="1" xml:space="preserve"> IF( $D95 &gt; 1, OFFSET( 'INPUTS│Performance Commitments'!$F$164, MATCH( $C95, 'INPUTS│Performance Commitments'!$C$164:$C$183, 0 ), MATCH( $F$4, 'INPUTS│Performance Commitments'!$G$3:$I$3, 0 ) ), "-" )</f>
        <v>-</v>
      </c>
      <c r="H95" s="101">
        <f xml:space="preserve"> _xlfn.IFNA( VLOOKUP( $C95, 'INPUTS│Performance Commitments'!$C$141:$I$160, MATCH( H$4, 'INPUTS│Performance Commitments'!$G$3:$I$3, 0 ) + 4, 0 ), "-" )</f>
        <v>350</v>
      </c>
      <c r="I95" s="101" t="str">
        <f ca="1" xml:space="preserve"> IF( $D95 &gt; 1, OFFSET( 'INPUTS│Performance Commitments'!$F$141, MATCH( $C95, 'INPUTS│Performance Commitments'!$C$141:$C$160, 0 ), MATCH( $H$4, 'INPUTS│Performance Commitments'!$G$3:$I$3, 0 ) ), "-" )</f>
        <v>-</v>
      </c>
      <c r="J95" s="77" t="str">
        <f xml:space="preserve"> IF( H95 &lt;&gt; "-", IF( F95 &lt;= H95, "Met", "Failed" ), "-" )</f>
        <v>Failed</v>
      </c>
      <c r="K95" s="77" t="str">
        <f ca="1" xml:space="preserve"> IF( I95 &lt;&gt; "-", IF( G95 &lt;= I95, "Met", "Failed" ), "-" )</f>
        <v>-</v>
      </c>
      <c r="L95" s="238">
        <f ca="1" xml:space="preserve"> IF( H95 = "-", "-", COUNTIF( J95:K95, "Met" ) / $D95 )</f>
        <v>0</v>
      </c>
      <c r="N95" s="101">
        <f xml:space="preserve"> _xlfn.IFNA( VLOOKUP( $C95, 'INPUTS│Performance Commitments'!$C$164:$I$183, MATCH( N$4, 'INPUTS│Performance Commitments'!$G$3:$I$3, 0 ) + 4, 0 ), "-" )</f>
        <v>329</v>
      </c>
      <c r="O95" s="101" t="str">
        <f ca="1" xml:space="preserve"> IF( $D95 &gt; 1, OFFSET( 'INPUTS│Performance Commitments'!$F$164, MATCH( $C95, 'INPUTS│Performance Commitments'!$C$164:$C$183, 0 ), MATCH( $N$4, 'INPUTS│Performance Commitments'!$G$3:$I$3, 0 ) ), "-" )</f>
        <v>-</v>
      </c>
      <c r="P95" s="101">
        <f xml:space="preserve"> _xlfn.IFNA( VLOOKUP( $C95, 'INPUTS│Performance Commitments'!$C$141:$I$160, MATCH( P$4, 'INPUTS│Performance Commitments'!$G$3:$I$3, 0 ) + 4, 0 ), "-" )</f>
        <v>350</v>
      </c>
      <c r="Q95" s="101" t="str">
        <f ca="1" xml:space="preserve"> IF( $D95 &gt; 1, OFFSET( 'INPUTS│Performance Commitments'!$F$141, MATCH( $C95, 'INPUTS│Performance Commitments'!$C$141:$C$160, 0 ), MATCH( $P$4, 'INPUTS│Performance Commitments'!$G$3:$I$3, 0 ) ), "-" )</f>
        <v>-</v>
      </c>
      <c r="R95" s="77" t="str">
        <f xml:space="preserve"> IF( P95 &lt;&gt; "-", IF( N95 &lt;= P95, "Met", "Failed" ), "-" )</f>
        <v>Met</v>
      </c>
      <c r="S95" s="77" t="str">
        <f ca="1" xml:space="preserve"> IF( Q95 &lt;&gt; "-", IF( O95 &lt;= Q95, "Met", "Failed" ), "-" )</f>
        <v>-</v>
      </c>
      <c r="T95" s="238">
        <f ca="1" xml:space="preserve"> IF( P95 = "-", "-", COUNTIF( R95:S95, "Met" ) / $D95 )</f>
        <v>1</v>
      </c>
      <c r="V95" s="229">
        <f xml:space="preserve"> _xlfn.IFNA( VLOOKUP( $C95, 'INPUTS│Performance Commitments'!$C$164:$L$183, MATCH( V$4, 'INPUTS│Performance Commitments'!$K$3:$L$3, 0 ) + 8, 0 ), "-" )</f>
        <v>0.46205870075949285</v>
      </c>
      <c r="W95" s="229" t="str">
        <f ca="1" xml:space="preserve"> IF( $D95 &gt; 1, OFFSET( 'INPUTS│Performance Commitments'!$J$164, MATCH( $C95, 'INPUTS│Performance Commitments'!$C$164:$C$183, 0 ), MATCH( $V$4, 'INPUTS│Performance Commitments'!$K$3:$L$3, 0 ) ), "-" )</f>
        <v>-</v>
      </c>
      <c r="X95" s="229">
        <f xml:space="preserve"> _xlfn.IFNA( VLOOKUP( $C95, 'INPUTS│Performance Commitments'!$C$141:$L$160, MATCH( X$4, 'INPUTS│Performance Commitments'!$K$3:$L$3, 0 ) + 8, 0 ), "-" )</f>
        <v>0.47589910938880953</v>
      </c>
      <c r="Y95" s="229" t="str">
        <f ca="1" xml:space="preserve"> IF( $D95 &gt; 1, OFFSET( 'INPUTS│Performance Commitments'!$J$141, MATCH( $C95, 'INPUTS│Performance Commitments'!$C$141:$C$160, 0 ), MATCH( $X$4, 'INPUTS│Performance Commitments'!$K$3:$L$3, 0 ) ), "-" )</f>
        <v>-</v>
      </c>
    </row>
    <row r="96" spans="3:25" outlineLevel="1" x14ac:dyDescent="0.25">
      <c r="C96" s="283"/>
      <c r="D96" s="80"/>
      <c r="E96" s="283"/>
      <c r="F96" s="52"/>
      <c r="G96" s="52"/>
      <c r="H96" s="52"/>
      <c r="I96" s="52"/>
      <c r="J96" s="52"/>
      <c r="K96" s="52"/>
      <c r="L96" s="52"/>
      <c r="M96" s="283"/>
      <c r="N96" s="52"/>
      <c r="O96" s="52"/>
      <c r="P96" s="52"/>
      <c r="Q96" s="52"/>
      <c r="R96" s="52"/>
      <c r="S96" s="52"/>
      <c r="T96" s="52"/>
      <c r="U96" s="283"/>
      <c r="V96" s="52"/>
      <c r="W96" s="52"/>
      <c r="X96" s="52"/>
      <c r="Y96" s="52"/>
    </row>
    <row r="97" spans="2:26" outlineLevel="1" x14ac:dyDescent="0.25">
      <c r="C97" s="8" t="s">
        <v>118</v>
      </c>
      <c r="D97" s="171">
        <f xml:space="preserve"> COUNTIF( 'INPUTS│Performance Commitments'!$C$141:$C$160, C97 )</f>
        <v>1</v>
      </c>
      <c r="F97" s="100">
        <f xml:space="preserve"> _xlfn.IFNA( VLOOKUP( $C97, 'INPUTS│Performance Commitments'!$C$164:$I$183, MATCH( F$4, 'INPUTS│Performance Commitments'!$G$3:$I$3, 0 ) + 4, 0 ), "-" )</f>
        <v>2.13</v>
      </c>
      <c r="G97" s="100" t="str">
        <f ca="1" xml:space="preserve"> IF( $D97 &gt; 1, OFFSET( 'INPUTS│Performance Commitments'!$F$164, MATCH( $C97, 'INPUTS│Performance Commitments'!$C$164:$C$183, 0 ), MATCH( $F$4, 'INPUTS│Performance Commitments'!$G$3:$I$3, 0 ) ), "-" )</f>
        <v>-</v>
      </c>
      <c r="H97" s="100">
        <f xml:space="preserve"> _xlfn.IFNA( VLOOKUP( $C97, 'INPUTS│Performance Commitments'!$C$141:$I$160, MATCH( H$4, 'INPUTS│Performance Commitments'!$G$3:$I$3, 0 ) + 4, 0 ), "-" )</f>
        <v>3.3</v>
      </c>
      <c r="I97" s="100" t="str">
        <f ca="1" xml:space="preserve"> IF( $D97 &gt; 1, OFFSET( 'INPUTS│Performance Commitments'!$F$141, MATCH( $C97, 'INPUTS│Performance Commitments'!$C$141:$C$160, 0 ), MATCH( $H$4, 'INPUTS│Performance Commitments'!$G$3:$I$3, 0 ) ), "-" )</f>
        <v>-</v>
      </c>
      <c r="J97" s="77" t="str">
        <f t="shared" si="26"/>
        <v>Met</v>
      </c>
      <c r="K97" s="77" t="str">
        <f ca="1" xml:space="preserve"> IF( I97 &lt;&gt; "-", IF( G97 &lt;= I97, "Met", "Failed" ), "-" )</f>
        <v>-</v>
      </c>
      <c r="L97" s="78">
        <f ca="1" xml:space="preserve"> IF( H97 = "-", "-", COUNTIF( J97:K97, "Met" ) / $D97 )</f>
        <v>1</v>
      </c>
      <c r="N97" s="100">
        <f xml:space="preserve"> _xlfn.IFNA( VLOOKUP( $C97, 'INPUTS│Performance Commitments'!$C$164:$I$183, MATCH( N$4, 'INPUTS│Performance Commitments'!$G$3:$I$3, 0 ) + 4, 0 ), "-" )</f>
        <v>1.9</v>
      </c>
      <c r="O97" s="100" t="str">
        <f ca="1" xml:space="preserve"> IF( $D97 &gt; 1, OFFSET( 'INPUTS│Performance Commitments'!$F$164, MATCH( $C97, 'INPUTS│Performance Commitments'!$C$164:$C$183, 0 ), MATCH( $N$4, 'INPUTS│Performance Commitments'!$G$3:$I$3, 0 ) ), "-" )</f>
        <v>-</v>
      </c>
      <c r="P97" s="100">
        <f xml:space="preserve"> _xlfn.IFNA( VLOOKUP( $C97, 'INPUTS│Performance Commitments'!$C$141:$I$160, MATCH( P$4, 'INPUTS│Performance Commitments'!$G$3:$I$3, 0 ) + 4, 0 ), "-" )</f>
        <v>3</v>
      </c>
      <c r="Q97" s="100" t="str">
        <f ca="1" xml:space="preserve"> IF( $D97 &gt; 1, OFFSET( 'INPUTS│Performance Commitments'!$F$141, MATCH( $C97, 'INPUTS│Performance Commitments'!$C$141:$C$160, 0 ), MATCH( $P$4, 'INPUTS│Performance Commitments'!$G$3:$I$3, 0 ) ), "-" )</f>
        <v>-</v>
      </c>
      <c r="R97" s="77" t="str">
        <f t="shared" si="28"/>
        <v>Met</v>
      </c>
      <c r="S97" s="77" t="str">
        <f ca="1" xml:space="preserve"> IF( Q97 &lt;&gt; "-", IF( O97 &lt;= Q97, "Met", "Failed" ), "-" )</f>
        <v>-</v>
      </c>
      <c r="T97" s="78">
        <f ca="1" xml:space="preserve"> IF( P97 = "-", "-", COUNTIF( R97:S97, "Met" ) / $D97 )</f>
        <v>1</v>
      </c>
      <c r="V97" s="77">
        <f xml:space="preserve"> _xlfn.IFNA( VLOOKUP( $C97, 'INPUTS│Performance Commitments'!$C$164:$L$183, MATCH( V$4, 'INPUTS│Performance Commitments'!$K$3:$L$3, 0 ) + 8, 0 ), "-" )</f>
        <v>1.9</v>
      </c>
      <c r="W97" s="77" t="str">
        <f ca="1" xml:space="preserve"> IF( $D97 &gt; 1, OFFSET( 'INPUTS│Performance Commitments'!$J$164, MATCH( $C97, 'INPUTS│Performance Commitments'!$C$164:$C$183, 0 ), MATCH( $V$4, 'INPUTS│Performance Commitments'!$K$3:$L$3, 0 ) ), "-" )</f>
        <v>-</v>
      </c>
      <c r="X97" s="77">
        <f xml:space="preserve"> _xlfn.IFNA( VLOOKUP( $C97, 'INPUTS│Performance Commitments'!$C$141:$L$160, MATCH( X$4, 'INPUTS│Performance Commitments'!$K$3:$L$3, 0 ) + 8, 0 ), "-" )</f>
        <v>3</v>
      </c>
      <c r="Y97" s="77" t="str">
        <f ca="1" xml:space="preserve"> IF( $D97 &gt; 1, OFFSET( 'INPUTS│Performance Commitments'!$J$141, MATCH( $C97, 'INPUTS│Performance Commitments'!$C$141:$C$160, 0 ), MATCH( $X$4, 'INPUTS│Performance Commitments'!$K$3:$L$3, 0 ) ), "-" )</f>
        <v>-</v>
      </c>
    </row>
    <row r="98" spans="2:26" outlineLevel="1" x14ac:dyDescent="0.25">
      <c r="C98" s="8" t="s">
        <v>116</v>
      </c>
      <c r="D98" s="171">
        <f xml:space="preserve"> COUNTIF( 'INPUTS│Performance Commitments'!$C$141:$C$160, C98 )</f>
        <v>1</v>
      </c>
      <c r="F98" s="100">
        <f xml:space="preserve"> _xlfn.IFNA( VLOOKUP( $C98, 'INPUTS│Performance Commitments'!$C$164:$I$183, MATCH( F$4, 'INPUTS│Performance Commitments'!$G$3:$I$3, 0 ) + 4, 0 ), "-" )</f>
        <v>0.71</v>
      </c>
      <c r="G98" s="100" t="str">
        <f ca="1" xml:space="preserve"> IF( $D98 &gt; 1, OFFSET( 'INPUTS│Performance Commitments'!$F$164, MATCH( $C98, 'INPUTS│Performance Commitments'!$C$164:$C$183, 0 ), MATCH( $F$4, 'INPUTS│Performance Commitments'!$G$3:$I$3, 0 ) ), "-" )</f>
        <v>-</v>
      </c>
      <c r="H98" s="100">
        <f xml:space="preserve"> _xlfn.IFNA( VLOOKUP( $C98, 'INPUTS│Performance Commitments'!$C$141:$I$160, MATCH( H$4, 'INPUTS│Performance Commitments'!$G$3:$I$3, 0 ) + 4, 0 ), "-" )</f>
        <v>1.23</v>
      </c>
      <c r="I98" s="100" t="str">
        <f ca="1" xml:space="preserve"> IF( $D98 &gt; 1, OFFSET( 'INPUTS│Performance Commitments'!$F$141, MATCH( $C98, 'INPUTS│Performance Commitments'!$C$141:$C$160, 0 ), MATCH( $H$4, 'INPUTS│Performance Commitments'!$G$3:$I$3, 0 ) ), "-" )</f>
        <v>-</v>
      </c>
      <c r="J98" s="77" t="str">
        <f t="shared" si="26"/>
        <v>Met</v>
      </c>
      <c r="K98" s="77" t="str">
        <f ca="1" xml:space="preserve"> IF( I98 &lt;&gt; "-", IF( G98 &lt;= I98, "Met", "Failed" ), "-" )</f>
        <v>-</v>
      </c>
      <c r="L98" s="78">
        <f ca="1" xml:space="preserve"> IF( H98 = "-", "-", COUNTIF( J98:K98, "Met" ) / $D98 )</f>
        <v>1</v>
      </c>
      <c r="N98" s="100">
        <f xml:space="preserve"> _xlfn.IFNA( VLOOKUP( $C98, 'INPUTS│Performance Commitments'!$C$164:$I$183, MATCH( N$4, 'INPUTS│Performance Commitments'!$G$3:$I$3, 0 ) + 4, 0 ), "-" )</f>
        <v>1.01</v>
      </c>
      <c r="O98" s="100" t="str">
        <f ca="1" xml:space="preserve"> IF( $D98 &gt; 1, OFFSET( 'INPUTS│Performance Commitments'!$F$164, MATCH( $C98, 'INPUTS│Performance Commitments'!$C$164:$C$183, 0 ), MATCH( $N$4, 'INPUTS│Performance Commitments'!$G$3:$I$3, 0 ) ), "-" )</f>
        <v>-</v>
      </c>
      <c r="P98" s="100">
        <f xml:space="preserve"> _xlfn.IFNA( VLOOKUP( $C98, 'INPUTS│Performance Commitments'!$C$141:$I$160, MATCH( P$4, 'INPUTS│Performance Commitments'!$G$3:$I$3, 0 ) + 4, 0 ), "-" )</f>
        <v>1.23</v>
      </c>
      <c r="Q98" s="100" t="str">
        <f ca="1" xml:space="preserve"> IF( $D98 &gt; 1, OFFSET( 'INPUTS│Performance Commitments'!$F$141, MATCH( $C98, 'INPUTS│Performance Commitments'!$C$141:$C$160, 0 ), MATCH( $P$4, 'INPUTS│Performance Commitments'!$G$3:$I$3, 0 ) ), "-" )</f>
        <v>-</v>
      </c>
      <c r="R98" s="77" t="str">
        <f t="shared" si="28"/>
        <v>Met</v>
      </c>
      <c r="S98" s="77" t="str">
        <f ca="1" xml:space="preserve"> IF( Q98 &lt;&gt; "-", IF( O98 &lt;= Q98, "Met", "Failed" ), "-" )</f>
        <v>-</v>
      </c>
      <c r="T98" s="78">
        <f ca="1" xml:space="preserve"> IF( P98 = "-", "-", COUNTIF( R98:S98, "Met" ) / $D98 )</f>
        <v>1</v>
      </c>
      <c r="V98" s="77">
        <f xml:space="preserve"> _xlfn.IFNA( VLOOKUP( $C98, 'INPUTS│Performance Commitments'!$C$164:$L$183, MATCH( V$4, 'INPUTS│Performance Commitments'!$K$3:$L$3, 0 ) + 8, 0 ), "-" )</f>
        <v>1.01</v>
      </c>
      <c r="W98" s="77" t="str">
        <f ca="1" xml:space="preserve"> IF( $D98 &gt; 1, OFFSET( 'INPUTS│Performance Commitments'!$J$164, MATCH( $C98, 'INPUTS│Performance Commitments'!$C$164:$C$183, 0 ), MATCH( $V$4, 'INPUTS│Performance Commitments'!$K$3:$L$3, 0 ) ), "-" )</f>
        <v>-</v>
      </c>
      <c r="X98" s="77">
        <f xml:space="preserve"> _xlfn.IFNA( VLOOKUP( $C98, 'INPUTS│Performance Commitments'!$C$141:$L$160, MATCH( X$4, 'INPUTS│Performance Commitments'!$K$3:$L$3, 0 ) + 8, 0 ), "-" )</f>
        <v>1.23</v>
      </c>
      <c r="Y98" s="77" t="str">
        <f ca="1" xml:space="preserve"> IF( $D98 &gt; 1, OFFSET( 'INPUTS│Performance Commitments'!$J$141, MATCH( $C98, 'INPUTS│Performance Commitments'!$C$141:$C$160, 0 ), MATCH( $X$4, 'INPUTS│Performance Commitments'!$K$3:$L$3, 0 ) ), "-" )</f>
        <v>-</v>
      </c>
    </row>
    <row r="100" spans="2:26" ht="13.5" x14ac:dyDescent="0.35">
      <c r="B100" s="9" t="s">
        <v>166</v>
      </c>
      <c r="C100" s="9"/>
      <c r="D100" s="10"/>
      <c r="E100" s="9"/>
      <c r="F100" s="9"/>
      <c r="G100" s="9"/>
      <c r="H100" s="9"/>
      <c r="I100" s="9"/>
      <c r="J100" s="9"/>
      <c r="K100" s="9"/>
      <c r="L100" s="9"/>
      <c r="M100" s="9"/>
      <c r="N100" s="9"/>
      <c r="O100" s="9"/>
      <c r="P100" s="9"/>
      <c r="Q100" s="9"/>
      <c r="R100" s="9"/>
      <c r="S100" s="9"/>
      <c r="T100" s="9"/>
      <c r="U100" s="9"/>
      <c r="V100" s="9"/>
      <c r="W100" s="9"/>
      <c r="X100" s="9"/>
      <c r="Y100" s="9"/>
      <c r="Z100" s="9"/>
    </row>
    <row r="101" spans="2:26" outlineLevel="1" x14ac:dyDescent="0.25"/>
    <row r="102" spans="2:26" outlineLevel="1" x14ac:dyDescent="0.25">
      <c r="C102" s="8" t="s">
        <v>80</v>
      </c>
      <c r="D102" s="171">
        <f xml:space="preserve"> COUNTIF( 'INPUTS│Performance Commitments'!$C$189:$C$201, C102 )</f>
        <v>1</v>
      </c>
      <c r="E102" s="47"/>
      <c r="F102" s="101" t="str">
        <f xml:space="preserve"> _xlfn.IFNA( VLOOKUP( $C102, 'INPUTS│Performance Commitments'!$C$205:$I$217, MATCH( F$4, 'INPUTS│Performance Commitments'!$G$3:$I$3, 0 ) + 4, 0 ), "-" )</f>
        <v>-</v>
      </c>
      <c r="G102" s="101" t="str">
        <f ca="1" xml:space="preserve"> IF( $D102 &gt; 1, OFFSET( 'INPUTS│Performance Commitments'!$F$205, MATCH( $C102, 'INPUTS│Performance Commitments'!$C$205:$C$217, 0 ), MATCH( $F$4, 'INPUTS│Performance Commitments'!$G$3:$I$3, 0 ) ), "-" )</f>
        <v>-</v>
      </c>
      <c r="H102" s="101" t="str">
        <f xml:space="preserve"> _xlfn.IFNA( VLOOKUP( $C102, 'INPUTS│Performance Commitments'!$C$189:$I$201, MATCH( H$4, 'INPUTS│Performance Commitments'!$G$3:$I$3, 0 ) + 4, 0 ), "-" )</f>
        <v>-</v>
      </c>
      <c r="I102" s="101" t="str">
        <f ca="1" xml:space="preserve"> IF( $D102 &gt; 1, OFFSET( 'INPUTS│Performance Commitments'!$F$189, MATCH( $C102, 'INPUTS│Performance Commitments'!$C$189:$C$201, 0 ), MATCH( $H$4, 'INPUTS│Performance Commitments'!$G$3:$I$3, 0 ) ), "-" )</f>
        <v>-</v>
      </c>
      <c r="J102" s="77" t="str">
        <f xml:space="preserve"> IF( H102 &lt;&gt; "-", IF( F102 &lt;= H102, "Met", "Failed" ), "-" )</f>
        <v>-</v>
      </c>
      <c r="K102" s="77" t="str">
        <f ca="1" xml:space="preserve"> IF( I102 &lt;&gt; "-", IF( G102 &lt;= I102, "Met", "Failed" ), "-" )</f>
        <v>-</v>
      </c>
      <c r="L102" s="238" t="str">
        <f xml:space="preserve"> IF( H102 = "-", "-", COUNTIF( J102:K102, "Met" ) / $D102 )</f>
        <v>-</v>
      </c>
      <c r="M102" s="47"/>
      <c r="N102" s="101">
        <f xml:space="preserve"> _xlfn.IFNA( VLOOKUP( $C102, 'INPUTS│Performance Commitments'!$C$205:$I$217, MATCH( N$4, 'INPUTS│Performance Commitments'!$G$3:$I$3, 0 ) + 4, 0 ), "-" )</f>
        <v>296</v>
      </c>
      <c r="O102" s="101" t="str">
        <f ca="1" xml:space="preserve"> IF( $D102 &gt; 1, OFFSET( 'INPUTS│Performance Commitments'!$F$205, MATCH( $C102, 'INPUTS│Performance Commitments'!$C$205:$C$217, 0 ), MATCH( $N$4, 'INPUTS│Performance Commitments'!$G$3:$I$3, 0 ) ), "-" )</f>
        <v>-</v>
      </c>
      <c r="P102" s="101">
        <f xml:space="preserve"> _xlfn.IFNA( VLOOKUP( $C102, 'INPUTS│Performance Commitments'!$C$189:$I$201, MATCH( P$4, 'INPUTS│Performance Commitments'!$G$3:$I$3, 0 ) + 4, 0 ), "-" )</f>
        <v>448</v>
      </c>
      <c r="Q102" s="101" t="str">
        <f ca="1" xml:space="preserve"> IF( $D102 &gt; 1, OFFSET( 'INPUTS│Performance Commitments'!$F$189, MATCH( $C102, 'INPUTS│Performance Commitments'!$C$189:$C$201, 0 ), MATCH( $P$4, 'INPUTS│Performance Commitments'!$G$3:$I$3, 0 ) ), "-" )</f>
        <v>-</v>
      </c>
      <c r="R102" s="77" t="str">
        <f xml:space="preserve"> IF( P102 &lt;&gt; "-", IF( N102 &lt;= P102, "Met", "Failed" ), "-" )</f>
        <v>Met</v>
      </c>
      <c r="S102" s="77" t="str">
        <f ca="1" xml:space="preserve"> IF( Q102 &lt;&gt; "-", IF( O102 &lt;= Q102, "Met", "Failed" ), "-" )</f>
        <v>-</v>
      </c>
      <c r="T102" s="238">
        <f t="shared" ref="T102:T112" ca="1" si="32" xml:space="preserve"> IF( P102 = "-", "-", COUNTIF( R102:S102, "Met" ) / $D102 )</f>
        <v>1</v>
      </c>
      <c r="U102" s="47"/>
      <c r="V102" s="230">
        <f xml:space="preserve"> _xlfn.IFNA( VLOOKUP( $C102, 'INPUTS│Performance Commitments'!$C$205:$L$217, MATCH( V$4, 'INPUTS│Performance Commitments'!$K$3:$L$3, 0 ) + 8, 0 ), "-" )</f>
        <v>296</v>
      </c>
      <c r="W102" s="230" t="str">
        <f ca="1" xml:space="preserve"> IF( $D102 &gt; 1, OFFSET( 'INPUTS│Performance Commitments'!$J$205, MATCH( $C102, 'INPUTS│Performance Commitments'!$C$205:$C$217, 0 ), MATCH( $V$4, 'INPUTS│Performance Commitments'!$K$3:$L$3, 0 ) ), "-" )</f>
        <v>-</v>
      </c>
      <c r="X102" s="230">
        <f xml:space="preserve"> _xlfn.IFNA( VLOOKUP( $C102, 'INPUTS│Performance Commitments'!$C$189:$L$201, MATCH( X$4, 'INPUTS│Performance Commitments'!$K$3:$L$3, 0 ) + 8, 0 ), "-" )</f>
        <v>448</v>
      </c>
      <c r="Y102" s="230" t="str">
        <f ca="1" xml:space="preserve"> IF( $D102 &gt; 1, OFFSET( 'INPUTS│Performance Commitments'!$J$189, MATCH( $C102, 'INPUTS│Performance Commitments'!$C$189:$C$201, 0 ), MATCH( $X$4, 'INPUTS│Performance Commitments'!$K$3:$L$3, 0 ) ), "-" )</f>
        <v>-</v>
      </c>
    </row>
    <row r="103" spans="2:26" outlineLevel="1" x14ac:dyDescent="0.25">
      <c r="C103" s="8" t="s">
        <v>82</v>
      </c>
      <c r="D103" s="171">
        <f xml:space="preserve"> COUNTIF( 'INPUTS│Performance Commitments'!$C$189:$C$201, C103 )</f>
        <v>1</v>
      </c>
      <c r="E103" s="47"/>
      <c r="F103" s="101">
        <f xml:space="preserve"> _xlfn.IFNA( VLOOKUP( $C103, 'INPUTS│Performance Commitments'!$C$205:$I$217, MATCH( F$4, 'INPUTS│Performance Commitments'!$G$3:$I$3, 0 ) + 4, 0 ), "-" )</f>
        <v>221</v>
      </c>
      <c r="G103" s="101" t="str">
        <f ca="1" xml:space="preserve"> IF( $D103 &gt; 1, OFFSET( 'INPUTS│Performance Commitments'!$F$205, MATCH( $C103, 'INPUTS│Performance Commitments'!$C$205:$C$217, 0 ), MATCH( $F$4, 'INPUTS│Performance Commitments'!$G$3:$I$3, 0 ) ), "-" )</f>
        <v>-</v>
      </c>
      <c r="H103" s="101">
        <f xml:space="preserve"> _xlfn.IFNA( VLOOKUP( $C103, 'INPUTS│Performance Commitments'!$C$189:$I$201, MATCH( H$4, 'INPUTS│Performance Commitments'!$G$3:$I$3, 0 ) + 4, 0 ), "-" )</f>
        <v>282</v>
      </c>
      <c r="I103" s="101" t="str">
        <f ca="1" xml:space="preserve"> IF( $D103 &gt; 1, OFFSET( 'INPUTS│Performance Commitments'!$F$189, MATCH( $C103, 'INPUTS│Performance Commitments'!$C$189:$C$201, 0 ), MATCH( $H$4, 'INPUTS│Performance Commitments'!$G$3:$I$3, 0 ) ), "-" )</f>
        <v>-</v>
      </c>
      <c r="J103" s="77" t="str">
        <f t="shared" ref="J103:J112" si="33" xml:space="preserve"> IF( H103 &lt;&gt; "-", IF( F103 &lt;= H103, "Met", "Failed" ), "-" )</f>
        <v>Met</v>
      </c>
      <c r="K103" s="77" t="str">
        <f t="shared" ref="K103:K112" ca="1" si="34" xml:space="preserve"> IF( I103 &lt;&gt; "-", IF( G103 &lt;= I103, "Met", "Failed" ), "-" )</f>
        <v>-</v>
      </c>
      <c r="L103" s="238">
        <f ca="1" xml:space="preserve"> IF( H103 = "-", "-", COUNTIF( J103:K103, "Met" ) / $D103 )</f>
        <v>1</v>
      </c>
      <c r="M103" s="47"/>
      <c r="N103" s="101">
        <f xml:space="preserve"> _xlfn.IFNA( VLOOKUP( $C103, 'INPUTS│Performance Commitments'!$C$205:$I$217, MATCH( N$4, 'INPUTS│Performance Commitments'!$G$3:$I$3, 0 ) + 4, 0 ), "-" )</f>
        <v>216</v>
      </c>
      <c r="O103" s="101" t="str">
        <f ca="1" xml:space="preserve"> IF( $D103 &gt; 1, OFFSET( 'INPUTS│Performance Commitments'!$F$205, MATCH( $C103, 'INPUTS│Performance Commitments'!$C$205:$C$217, 0 ), MATCH( $N$4, 'INPUTS│Performance Commitments'!$G$3:$I$3, 0 ) ), "-" )</f>
        <v>-</v>
      </c>
      <c r="P103" s="101">
        <f xml:space="preserve"> _xlfn.IFNA( VLOOKUP( $C103, 'INPUTS│Performance Commitments'!$C$189:$I$201, MATCH( P$4, 'INPUTS│Performance Commitments'!$G$3:$I$3, 0 ) + 4, 0 ), "-" )</f>
        <v>269</v>
      </c>
      <c r="Q103" s="101" t="str">
        <f ca="1" xml:space="preserve"> IF( $D103 &gt; 1, OFFSET( 'INPUTS│Performance Commitments'!$F$189, MATCH( $C103, 'INPUTS│Performance Commitments'!$C$189:$C$201, 0 ), MATCH( $P$4, 'INPUTS│Performance Commitments'!$G$3:$I$3, 0 ) ), "-" )</f>
        <v>-</v>
      </c>
      <c r="R103" s="77" t="str">
        <f t="shared" ref="R103:R112" si="35" xml:space="preserve"> IF( P103 &lt;&gt; "-", IF( N103 &lt;= P103, "Met", "Failed" ), "-" )</f>
        <v>Met</v>
      </c>
      <c r="S103" s="77" t="str">
        <f t="shared" ref="S103:S112" ca="1" si="36" xml:space="preserve"> IF( Q103 &lt;&gt; "-", IF( O103 &lt;= Q103, "Met", "Failed" ), "-" )</f>
        <v>-</v>
      </c>
      <c r="T103" s="238">
        <f t="shared" ca="1" si="32"/>
        <v>1</v>
      </c>
      <c r="U103" s="47"/>
      <c r="V103" s="230">
        <f xml:space="preserve"> _xlfn.IFNA( VLOOKUP( $C103, 'INPUTS│Performance Commitments'!$C$205:$L$217, MATCH( V$4, 'INPUTS│Performance Commitments'!$K$3:$L$3, 0 ) + 8, 0 ), "-" )</f>
        <v>216</v>
      </c>
      <c r="W103" s="230" t="str">
        <f ca="1" xml:space="preserve"> IF( $D103 &gt; 1, OFFSET( 'INPUTS│Performance Commitments'!$J$205, MATCH( $C103, 'INPUTS│Performance Commitments'!$C$205:$C$217, 0 ), MATCH( $V$4, 'INPUTS│Performance Commitments'!$K$3:$L$3, 0 ) ), "-" )</f>
        <v>-</v>
      </c>
      <c r="X103" s="230">
        <f xml:space="preserve"> _xlfn.IFNA( VLOOKUP( $C103, 'INPUTS│Performance Commitments'!$C$189:$L$201, MATCH( X$4, 'INPUTS│Performance Commitments'!$K$3:$L$3, 0 ) + 8, 0 ), "-" )</f>
        <v>269</v>
      </c>
      <c r="Y103" s="230" t="str">
        <f ca="1" xml:space="preserve"> IF( $D103 &gt; 1, OFFSET( 'INPUTS│Performance Commitments'!$J$189, MATCH( $C103, 'INPUTS│Performance Commitments'!$C$189:$C$201, 0 ), MATCH( $X$4, 'INPUTS│Performance Commitments'!$K$3:$L$3, 0 ) ), "-" )</f>
        <v>-</v>
      </c>
    </row>
    <row r="104" spans="2:26" outlineLevel="1" x14ac:dyDescent="0.25">
      <c r="C104" s="8" t="s">
        <v>85</v>
      </c>
      <c r="D104" s="171">
        <f xml:space="preserve"> COUNTIF( 'INPUTS│Performance Commitments'!$C$189:$C$201, C104 )</f>
        <v>1</v>
      </c>
      <c r="E104" s="47"/>
      <c r="F104" s="101">
        <f xml:space="preserve"> _xlfn.IFNA( VLOOKUP( $C104, 'INPUTS│Performance Commitments'!$C$205:$I$217, MATCH( F$4, 'INPUTS│Performance Commitments'!$G$3:$I$3, 0 ) + 4, 0 ), "-" )</f>
        <v>4</v>
      </c>
      <c r="G104" s="101" t="str">
        <f ca="1" xml:space="preserve"> IF( $D104 &gt; 1, OFFSET( 'INPUTS│Performance Commitments'!$F$205, MATCH( $C104, 'INPUTS│Performance Commitments'!$C$205:$C$217, 0 ), MATCH( $F$4, 'INPUTS│Performance Commitments'!$G$3:$I$3, 0 ) ), "-" )</f>
        <v>-</v>
      </c>
      <c r="H104" s="101">
        <f xml:space="preserve"> _xlfn.IFNA( VLOOKUP( $C104, 'INPUTS│Performance Commitments'!$C$189:$I$201, MATCH( H$4, 'INPUTS│Performance Commitments'!$G$3:$I$3, 0 ) + 4, 0 ), "-" )</f>
        <v>5</v>
      </c>
      <c r="I104" s="101" t="str">
        <f ca="1" xml:space="preserve"> IF( $D104 &gt; 1, OFFSET( 'INPUTS│Performance Commitments'!$F$189, MATCH( $C104, 'INPUTS│Performance Commitments'!$C$189:$C$201, 0 ), MATCH( $H$4, 'INPUTS│Performance Commitments'!$G$3:$I$3, 0 ) ), "-" )</f>
        <v>-</v>
      </c>
      <c r="J104" s="77" t="str">
        <f t="shared" si="33"/>
        <v>Met</v>
      </c>
      <c r="K104" s="77" t="str">
        <f t="shared" ca="1" si="34"/>
        <v>-</v>
      </c>
      <c r="L104" s="238">
        <f ca="1" xml:space="preserve"> IF( H104 = "-", "-", COUNTIF( J104:K104, "Met" ) / $D104 )</f>
        <v>1</v>
      </c>
      <c r="M104" s="47"/>
      <c r="N104" s="101">
        <f xml:space="preserve"> _xlfn.IFNA( VLOOKUP( $C104, 'INPUTS│Performance Commitments'!$C$205:$I$217, MATCH( N$4, 'INPUTS│Performance Commitments'!$G$3:$I$3, 0 ) + 4, 0 ), "-" )</f>
        <v>10</v>
      </c>
      <c r="O104" s="101" t="str">
        <f ca="1" xml:space="preserve"> IF( $D104 &gt; 1, OFFSET( 'INPUTS│Performance Commitments'!$F$205, MATCH( $C104, 'INPUTS│Performance Commitments'!$C$205:$C$217, 0 ), MATCH( $N$4, 'INPUTS│Performance Commitments'!$G$3:$I$3, 0 ) ), "-" )</f>
        <v>-</v>
      </c>
      <c r="P104" s="101">
        <f xml:space="preserve"> _xlfn.IFNA( VLOOKUP( $C104, 'INPUTS│Performance Commitments'!$C$189:$I$201, MATCH( P$4, 'INPUTS│Performance Commitments'!$G$3:$I$3, 0 ) + 4, 0 ), "-" )</f>
        <v>7</v>
      </c>
      <c r="Q104" s="101" t="str">
        <f ca="1" xml:space="preserve"> IF( $D104 &gt; 1, OFFSET( 'INPUTS│Performance Commitments'!$F$189, MATCH( $C104, 'INPUTS│Performance Commitments'!$C$189:$C$201, 0 ), MATCH( $P$4, 'INPUTS│Performance Commitments'!$G$3:$I$3, 0 ) ), "-" )</f>
        <v>-</v>
      </c>
      <c r="R104" s="77" t="str">
        <f t="shared" si="35"/>
        <v>Failed</v>
      </c>
      <c r="S104" s="77" t="str">
        <f t="shared" ca="1" si="36"/>
        <v>-</v>
      </c>
      <c r="T104" s="238">
        <f t="shared" ca="1" si="32"/>
        <v>0</v>
      </c>
      <c r="U104" s="47"/>
      <c r="V104" s="230">
        <f xml:space="preserve"> _xlfn.IFNA( VLOOKUP( $C104, 'INPUTS│Performance Commitments'!$C$205:$L$217, MATCH( V$4, 'INPUTS│Performance Commitments'!$K$3:$L$3, 0 ) + 8, 0 ), "-" )</f>
        <v>10</v>
      </c>
      <c r="W104" s="230" t="str">
        <f ca="1" xml:space="preserve"> IF( $D104 &gt; 1, OFFSET( 'INPUTS│Performance Commitments'!$J$205, MATCH( $C104, 'INPUTS│Performance Commitments'!$C$205:$C$217, 0 ), MATCH( $V$4, 'INPUTS│Performance Commitments'!$K$3:$L$3, 0 ) ), "-" )</f>
        <v>-</v>
      </c>
      <c r="X104" s="230">
        <f xml:space="preserve"> _xlfn.IFNA( VLOOKUP( $C104, 'INPUTS│Performance Commitments'!$C$189:$L$201, MATCH( X$4, 'INPUTS│Performance Commitments'!$K$3:$L$3, 0 ) + 8, 0 ), "-" )</f>
        <v>7</v>
      </c>
      <c r="Y104" s="230" t="str">
        <f ca="1" xml:space="preserve"> IF( $D104 &gt; 1, OFFSET( 'INPUTS│Performance Commitments'!$J$189, MATCH( $C104, 'INPUTS│Performance Commitments'!$C$189:$C$201, 0 ), MATCH( $X$4, 'INPUTS│Performance Commitments'!$K$3:$L$3, 0 ) ), "-" )</f>
        <v>-</v>
      </c>
    </row>
    <row r="105" spans="2:26" outlineLevel="1" x14ac:dyDescent="0.25">
      <c r="C105" s="8" t="s">
        <v>87</v>
      </c>
      <c r="D105" s="171">
        <f xml:space="preserve"> COUNTIF( 'INPUTS│Performance Commitments'!$C$189:$C$201, C105 )</f>
        <v>2</v>
      </c>
      <c r="E105" s="47"/>
      <c r="F105" s="101">
        <f xml:space="preserve"> _xlfn.IFNA( VLOOKUP( $C105, 'INPUTS│Performance Commitments'!$C$205:$I$217, MATCH( F$4, 'INPUTS│Performance Commitments'!$G$3:$I$3, 0 ) + 4, 0 ), "-" )</f>
        <v>124</v>
      </c>
      <c r="G105" s="101">
        <f ca="1" xml:space="preserve"> IF( $D105 &gt; 1, OFFSET( 'INPUTS│Performance Commitments'!$F$205, MATCH( $C105, 'INPUTS│Performance Commitments'!$C$205:$C$217, 0 ), MATCH( $F$4, 'INPUTS│Performance Commitments'!$G$3:$I$3, 0 ) ), "-" )</f>
        <v>246</v>
      </c>
      <c r="H105" s="101">
        <f xml:space="preserve"> _xlfn.IFNA( VLOOKUP( $C105, 'INPUTS│Performance Commitments'!$C$189:$I$201, MATCH( H$4, 'INPUTS│Performance Commitments'!$G$3:$I$3, 0 ) + 4, 0 ), "-" )</f>
        <v>186</v>
      </c>
      <c r="I105" s="101">
        <f ca="1" xml:space="preserve"> IF( $D105 &gt; 1, OFFSET( 'INPUTS│Performance Commitments'!$F$189, MATCH( $C105, 'INPUTS│Performance Commitments'!$C$189:$C$201, 0 ), MATCH( $H$4, 'INPUTS│Performance Commitments'!$G$3:$I$3, 0 ) ), "-" )</f>
        <v>228</v>
      </c>
      <c r="J105" s="77" t="str">
        <f t="shared" si="33"/>
        <v>Met</v>
      </c>
      <c r="K105" s="77" t="str">
        <f t="shared" ca="1" si="34"/>
        <v>Failed</v>
      </c>
      <c r="L105" s="238">
        <f ca="1" xml:space="preserve"> IF( H105 = "-", "-", COUNTIF( J105:K105, "Met" ) / $D105 )</f>
        <v>0.5</v>
      </c>
      <c r="M105" s="47"/>
      <c r="N105" s="101">
        <f xml:space="preserve"> _xlfn.IFNA( VLOOKUP( $C105, 'INPUTS│Performance Commitments'!$C$205:$I$217, MATCH( N$4, 'INPUTS│Performance Commitments'!$G$3:$I$3, 0 ) + 4, 0 ), "-" )</f>
        <v>139</v>
      </c>
      <c r="O105" s="101">
        <f ca="1" xml:space="preserve"> IF( $D105 &gt; 1, OFFSET( 'INPUTS│Performance Commitments'!$F$205, MATCH( $C105, 'INPUTS│Performance Commitments'!$C$205:$C$217, 0 ), MATCH( $N$4, 'INPUTS│Performance Commitments'!$G$3:$I$3, 0 ) ), "-" )</f>
        <v>205</v>
      </c>
      <c r="P105" s="101">
        <f xml:space="preserve"> _xlfn.IFNA( VLOOKUP( $C105, 'INPUTS│Performance Commitments'!$C$189:$I$201, MATCH( P$4, 'INPUTS│Performance Commitments'!$G$3:$I$3, 0 ) + 4, 0 ), "-" )</f>
        <v>186</v>
      </c>
      <c r="Q105" s="101">
        <f ca="1" xml:space="preserve"> IF( $D105 &gt; 1, OFFSET( 'INPUTS│Performance Commitments'!$F$189, MATCH( $C105, 'INPUTS│Performance Commitments'!$C$189:$C$201, 0 ), MATCH( $P$4, 'INPUTS│Performance Commitments'!$G$3:$I$3, 0 ) ), "-" )</f>
        <v>228</v>
      </c>
      <c r="R105" s="77" t="str">
        <f t="shared" si="35"/>
        <v>Met</v>
      </c>
      <c r="S105" s="77" t="str">
        <f t="shared" ca="1" si="36"/>
        <v>Met</v>
      </c>
      <c r="T105" s="238">
        <f t="shared" ca="1" si="32"/>
        <v>1</v>
      </c>
      <c r="U105" s="47"/>
      <c r="V105" s="230">
        <f xml:space="preserve"> _xlfn.IFNA( VLOOKUP( $C105, 'INPUTS│Performance Commitments'!$C$205:$L$217, MATCH( V$4, 'INPUTS│Performance Commitments'!$K$3:$L$3, 0 ) + 8, 0 ), "-" )</f>
        <v>139</v>
      </c>
      <c r="W105" s="230">
        <f ca="1" xml:space="preserve"> IF( $D105 &gt; 1, OFFSET( 'INPUTS│Performance Commitments'!$J$205, MATCH( $C105, 'INPUTS│Performance Commitments'!$C$205:$C$217, 0 ), MATCH( $V$4, 'INPUTS│Performance Commitments'!$K$3:$L$3, 0 ) ), "-" )</f>
        <v>205</v>
      </c>
      <c r="X105" s="230">
        <f xml:space="preserve"> _xlfn.IFNA( VLOOKUP( $C105, 'INPUTS│Performance Commitments'!$C$189:$L$201, MATCH( X$4, 'INPUTS│Performance Commitments'!$K$3:$L$3, 0 ) + 8, 0 ), "-" )</f>
        <v>186</v>
      </c>
      <c r="Y105" s="230">
        <f ca="1" xml:space="preserve"> IF( $D105 &gt; 1, OFFSET( 'INPUTS│Performance Commitments'!$J$189, MATCH( $C105, 'INPUTS│Performance Commitments'!$C$189:$C$201, 0 ), MATCH( $X$4, 'INPUTS│Performance Commitments'!$K$3:$L$3, 0 ) ), "-" )</f>
        <v>228</v>
      </c>
    </row>
    <row r="106" spans="2:26" outlineLevel="1" x14ac:dyDescent="0.25">
      <c r="C106" s="8" t="s">
        <v>89</v>
      </c>
      <c r="D106" s="171">
        <f xml:space="preserve"> COUNTIF( 'INPUTS│Performance Commitments'!$C$189:$C$201, C106 )</f>
        <v>1</v>
      </c>
      <c r="E106" s="47"/>
      <c r="F106" s="101">
        <f xml:space="preserve"> _xlfn.IFNA( VLOOKUP( $C106, 'INPUTS│Performance Commitments'!$C$205:$I$217, MATCH( F$4, 'INPUTS│Performance Commitments'!$G$3:$I$3, 0 ) + 4, 0 ), "-" )</f>
        <v>725</v>
      </c>
      <c r="G106" s="101" t="str">
        <f ca="1" xml:space="preserve"> IF( $D106 &gt; 1, OFFSET( 'INPUTS│Performance Commitments'!$F$205, MATCH( $C106, 'INPUTS│Performance Commitments'!$C$205:$C$217, 0 ), MATCH( $F$4, 'INPUTS│Performance Commitments'!$G$3:$I$3, 0 ) ), "-" )</f>
        <v>-</v>
      </c>
      <c r="H106" s="101">
        <f xml:space="preserve"> _xlfn.IFNA( VLOOKUP( $C106, 'INPUTS│Performance Commitments'!$C$189:$I$201, MATCH( H$4, 'INPUTS│Performance Commitments'!$G$3:$I$3, 0 ) + 4, 0 ), "-" )</f>
        <v>868</v>
      </c>
      <c r="I106" s="101" t="str">
        <f ca="1" xml:space="preserve"> IF( $D106 &gt; 1, OFFSET( 'INPUTS│Performance Commitments'!$F$189, MATCH( $C106, 'INPUTS│Performance Commitments'!$C$189:$C$201, 0 ), MATCH( $H$4, 'INPUTS│Performance Commitments'!$G$3:$I$3, 0 ) ), "-" )</f>
        <v>-</v>
      </c>
      <c r="J106" s="77" t="str">
        <f t="shared" si="33"/>
        <v>Met</v>
      </c>
      <c r="K106" s="77" t="str">
        <f t="shared" ca="1" si="34"/>
        <v>-</v>
      </c>
      <c r="L106" s="238">
        <f ca="1" xml:space="preserve"> IF( H106 = "-", "-", COUNTIF( J106:K106, "Met" ) / $D106 )</f>
        <v>1</v>
      </c>
      <c r="M106" s="47"/>
      <c r="N106" s="101">
        <f xml:space="preserve"> _xlfn.IFNA( VLOOKUP( $C106, 'INPUTS│Performance Commitments'!$C$205:$I$217, MATCH( N$4, 'INPUTS│Performance Commitments'!$G$3:$I$3, 0 ) + 4, 0 ), "-" )</f>
        <v>926</v>
      </c>
      <c r="O106" s="101" t="str">
        <f ca="1" xml:space="preserve"> IF( $D106 &gt; 1, OFFSET( 'INPUTS│Performance Commitments'!$F$205, MATCH( $C106, 'INPUTS│Performance Commitments'!$C$205:$C$217, 0 ), MATCH( $N$4, 'INPUTS│Performance Commitments'!$G$3:$I$3, 0 ) ), "-" )</f>
        <v>-</v>
      </c>
      <c r="P106" s="101">
        <f xml:space="preserve"> _xlfn.IFNA( VLOOKUP( $C106, 'INPUTS│Performance Commitments'!$C$189:$I$201, MATCH( P$4, 'INPUTS│Performance Commitments'!$G$3:$I$3, 0 ) + 4, 0 ), "-" )</f>
        <v>657</v>
      </c>
      <c r="Q106" s="101" t="str">
        <f ca="1" xml:space="preserve"> IF( $D106 &gt; 1, OFFSET( 'INPUTS│Performance Commitments'!$F$189, MATCH( $C106, 'INPUTS│Performance Commitments'!$C$189:$C$201, 0 ), MATCH( $P$4, 'INPUTS│Performance Commitments'!$G$3:$I$3, 0 ) ), "-" )</f>
        <v>-</v>
      </c>
      <c r="R106" s="77" t="str">
        <f t="shared" si="35"/>
        <v>Failed</v>
      </c>
      <c r="S106" s="77" t="str">
        <f t="shared" ca="1" si="36"/>
        <v>-</v>
      </c>
      <c r="T106" s="238">
        <f t="shared" ca="1" si="32"/>
        <v>0</v>
      </c>
      <c r="U106" s="47"/>
      <c r="V106" s="230">
        <f xml:space="preserve"> _xlfn.IFNA( VLOOKUP( $C106, 'INPUTS│Performance Commitments'!$C$205:$L$217, MATCH( V$4, 'INPUTS│Performance Commitments'!$K$3:$L$3, 0 ) + 8, 0 ), "-" )</f>
        <v>926</v>
      </c>
      <c r="W106" s="230" t="str">
        <f ca="1" xml:space="preserve"> IF( $D106 &gt; 1, OFFSET( 'INPUTS│Performance Commitments'!$J$205, MATCH( $C106, 'INPUTS│Performance Commitments'!$C$205:$C$217, 0 ), MATCH( $V$4, 'INPUTS│Performance Commitments'!$K$3:$L$3, 0 ) ), "-" )</f>
        <v>-</v>
      </c>
      <c r="X106" s="230">
        <f xml:space="preserve"> _xlfn.IFNA( VLOOKUP( $C106, 'INPUTS│Performance Commitments'!$C$189:$L$201, MATCH( X$4, 'INPUTS│Performance Commitments'!$K$3:$L$3, 0 ) + 8, 0 ), "-" )</f>
        <v>657</v>
      </c>
      <c r="Y106" s="230" t="str">
        <f ca="1" xml:space="preserve"> IF( $D106 &gt; 1, OFFSET( 'INPUTS│Performance Commitments'!$J$189, MATCH( $C106, 'INPUTS│Performance Commitments'!$C$189:$C$201, 0 ), MATCH( $X$4, 'INPUTS│Performance Commitments'!$K$3:$L$3, 0 ) ), "-" )</f>
        <v>-</v>
      </c>
    </row>
    <row r="107" spans="2:26" outlineLevel="1" x14ac:dyDescent="0.25">
      <c r="C107" s="8" t="s">
        <v>118</v>
      </c>
      <c r="D107" s="171">
        <f xml:space="preserve"> COUNTIF( 'INPUTS│Performance Commitments'!$C$189:$C$201, C107 )</f>
        <v>1</v>
      </c>
      <c r="E107" s="47"/>
      <c r="F107" s="101">
        <f xml:space="preserve"> _xlfn.IFNA( VLOOKUP( $C107, 'INPUTS│Performance Commitments'!$C$205:$I$217, MATCH( F$4, 'INPUTS│Performance Commitments'!$G$3:$I$3, 0 ) + 4, 0 ), "-" )</f>
        <v>93</v>
      </c>
      <c r="G107" s="101" t="str">
        <f ca="1" xml:space="preserve"> IF( $D107 &gt; 1, OFFSET( 'INPUTS│Performance Commitments'!$F$205, MATCH( $C107, 'INPUTS│Performance Commitments'!$C$205:$C$217, 0 ), MATCH( $F$4, 'INPUTS│Performance Commitments'!$G$3:$I$3, 0 ) ), "-" )</f>
        <v>-</v>
      </c>
      <c r="H107" s="101">
        <f xml:space="preserve"> _xlfn.IFNA( VLOOKUP( $C107, 'INPUTS│Performance Commitments'!$C$189:$I$201, MATCH( H$4, 'INPUTS│Performance Commitments'!$G$3:$I$3, 0 ) + 4, 0 ), "-" )</f>
        <v>139</v>
      </c>
      <c r="I107" s="101" t="str">
        <f ca="1" xml:space="preserve"> IF( $D107 &gt; 1, OFFSET( 'INPUTS│Performance Commitments'!$F$189, MATCH( $C107, 'INPUTS│Performance Commitments'!$C$189:$C$201, 0 ), MATCH( $H$4, 'INPUTS│Performance Commitments'!$G$3:$I$3, 0 ) ), "-" )</f>
        <v>-</v>
      </c>
      <c r="J107" s="77" t="str">
        <f t="shared" si="33"/>
        <v>Met</v>
      </c>
      <c r="K107" s="77" t="str">
        <f t="shared" ca="1" si="34"/>
        <v>-</v>
      </c>
      <c r="L107" s="238">
        <f t="shared" ref="L107:L112" ca="1" si="37" xml:space="preserve"> IF( H107 = "-", "-", COUNTIF( J107:K107, "Met" ) / $D107 )</f>
        <v>1</v>
      </c>
      <c r="M107" s="47"/>
      <c r="N107" s="101">
        <f xml:space="preserve"> _xlfn.IFNA( VLOOKUP( $C107, 'INPUTS│Performance Commitments'!$C$205:$I$217, MATCH( N$4, 'INPUTS│Performance Commitments'!$G$3:$I$3, 0 ) + 4, 0 ), "-" )</f>
        <v>160</v>
      </c>
      <c r="O107" s="101" t="str">
        <f ca="1" xml:space="preserve"> IF( $D107 &gt; 1, OFFSET( 'INPUTS│Performance Commitments'!$F$205, MATCH( $C107, 'INPUTS│Performance Commitments'!$C$205:$C$217, 0 ), MATCH( $N$4, 'INPUTS│Performance Commitments'!$G$3:$I$3, 0 ) ), "-" )</f>
        <v>-</v>
      </c>
      <c r="P107" s="101">
        <f xml:space="preserve"> _xlfn.IFNA( VLOOKUP( $C107, 'INPUTS│Performance Commitments'!$C$189:$I$201, MATCH( P$4, 'INPUTS│Performance Commitments'!$G$3:$I$3, 0 ) + 4, 0 ), "-" )</f>
        <v>135</v>
      </c>
      <c r="Q107" s="101" t="str">
        <f ca="1" xml:space="preserve"> IF( $D107 &gt; 1, OFFSET( 'INPUTS│Performance Commitments'!$F$189, MATCH( $C107, 'INPUTS│Performance Commitments'!$C$189:$C$201, 0 ), MATCH( $P$4, 'INPUTS│Performance Commitments'!$G$3:$I$3, 0 ) ), "-" )</f>
        <v>-</v>
      </c>
      <c r="R107" s="77" t="str">
        <f t="shared" si="35"/>
        <v>Failed</v>
      </c>
      <c r="S107" s="77" t="str">
        <f t="shared" ca="1" si="36"/>
        <v>-</v>
      </c>
      <c r="T107" s="238">
        <f t="shared" ca="1" si="32"/>
        <v>0</v>
      </c>
      <c r="U107" s="47"/>
      <c r="V107" s="230">
        <f xml:space="preserve"> _xlfn.IFNA( VLOOKUP( $C107, 'INPUTS│Performance Commitments'!$C$205:$L$217, MATCH( V$4, 'INPUTS│Performance Commitments'!$K$3:$L$3, 0 ) + 8, 0 ), "-" )</f>
        <v>160</v>
      </c>
      <c r="W107" s="230" t="str">
        <f ca="1" xml:space="preserve"> IF( $D107 &gt; 1, OFFSET( 'INPUTS│Performance Commitments'!$J$205, MATCH( $C107, 'INPUTS│Performance Commitments'!$C$205:$C$217, 0 ), MATCH( $V$4, 'INPUTS│Performance Commitments'!$K$3:$L$3, 0 ) ), "-" )</f>
        <v>-</v>
      </c>
      <c r="X107" s="230">
        <f xml:space="preserve"> _xlfn.IFNA( VLOOKUP( $C107, 'INPUTS│Performance Commitments'!$C$189:$L$201, MATCH( X$4, 'INPUTS│Performance Commitments'!$K$3:$L$3, 0 ) + 8, 0 ), "-" )</f>
        <v>135</v>
      </c>
      <c r="Y107" s="230" t="str">
        <f ca="1" xml:space="preserve"> IF( $D107 &gt; 1, OFFSET( 'INPUTS│Performance Commitments'!$J$189, MATCH( $C107, 'INPUTS│Performance Commitments'!$C$189:$C$201, 0 ), MATCH( $X$4, 'INPUTS│Performance Commitments'!$K$3:$L$3, 0 ) ), "-" )</f>
        <v>-</v>
      </c>
    </row>
    <row r="108" spans="2:26" outlineLevel="1" x14ac:dyDescent="0.25">
      <c r="C108" s="8" t="s">
        <v>94</v>
      </c>
      <c r="D108" s="171">
        <f xml:space="preserve"> COUNTIF( 'INPUTS│Performance Commitments'!$C$189:$C$201, C108 )</f>
        <v>1</v>
      </c>
      <c r="E108" s="47"/>
      <c r="F108" s="101">
        <f xml:space="preserve"> _xlfn.IFNA( VLOOKUP( $C108, 'INPUTS│Performance Commitments'!$C$205:$I$217, MATCH( F$4, 'INPUTS│Performance Commitments'!$G$3:$I$3, 0 ) + 4, 0 ), "-" )</f>
        <v>389</v>
      </c>
      <c r="G108" s="101" t="str">
        <f ca="1" xml:space="preserve"> IF( $D108 &gt; 1, OFFSET( 'INPUTS│Performance Commitments'!$F$205, MATCH( $C108, 'INPUTS│Performance Commitments'!$C$205:$C$217, 0 ), MATCH( $F$4, 'INPUTS│Performance Commitments'!$G$3:$I$3, 0 ) ), "-" )</f>
        <v>-</v>
      </c>
      <c r="H108" s="101">
        <f xml:space="preserve"> _xlfn.IFNA( VLOOKUP( $C108, 'INPUTS│Performance Commitments'!$C$189:$I$201, MATCH( H$4, 'INPUTS│Performance Commitments'!$G$3:$I$3, 0 ) + 4, 0 ), "-" )</f>
        <v>392</v>
      </c>
      <c r="I108" s="101" t="str">
        <f ca="1" xml:space="preserve"> IF( $D108 &gt; 1, OFFSET( 'INPUTS│Performance Commitments'!$F$189, MATCH( $C108, 'INPUTS│Performance Commitments'!$C$189:$C$201, 0 ), MATCH( $H$4, 'INPUTS│Performance Commitments'!$G$3:$I$3, 0 ) ), "-" )</f>
        <v>-</v>
      </c>
      <c r="J108" s="77" t="str">
        <f t="shared" si="33"/>
        <v>Met</v>
      </c>
      <c r="K108" s="77" t="str">
        <f t="shared" ca="1" si="34"/>
        <v>-</v>
      </c>
      <c r="L108" s="238">
        <f t="shared" ca="1" si="37"/>
        <v>1</v>
      </c>
      <c r="M108" s="47"/>
      <c r="N108" s="101">
        <f xml:space="preserve"> _xlfn.IFNA( VLOOKUP( $C108, 'INPUTS│Performance Commitments'!$C$205:$I$217, MATCH( N$4, 'INPUTS│Performance Commitments'!$G$3:$I$3, 0 ) + 4, 0 ), "-" )</f>
        <v>453</v>
      </c>
      <c r="O108" s="101" t="str">
        <f ca="1" xml:space="preserve"> IF( $D108 &gt; 1, OFFSET( 'INPUTS│Performance Commitments'!$F$205, MATCH( $C108, 'INPUTS│Performance Commitments'!$C$205:$C$217, 0 ), MATCH( $N$4, 'INPUTS│Performance Commitments'!$G$3:$I$3, 0 ) ), "-" )</f>
        <v>-</v>
      </c>
      <c r="P108" s="101">
        <f xml:space="preserve"> _xlfn.IFNA( VLOOKUP( $C108, 'INPUTS│Performance Commitments'!$C$189:$I$201, MATCH( P$4, 'INPUTS│Performance Commitments'!$G$3:$I$3, 0 ) + 4, 0 ), "-" )</f>
        <v>382</v>
      </c>
      <c r="Q108" s="101" t="str">
        <f ca="1" xml:space="preserve"> IF( $D108 &gt; 1, OFFSET( 'INPUTS│Performance Commitments'!$F$189, MATCH( $C108, 'INPUTS│Performance Commitments'!$C$189:$C$201, 0 ), MATCH( $P$4, 'INPUTS│Performance Commitments'!$G$3:$I$3, 0 ) ), "-" )</f>
        <v>-</v>
      </c>
      <c r="R108" s="77" t="str">
        <f t="shared" si="35"/>
        <v>Failed</v>
      </c>
      <c r="S108" s="77" t="str">
        <f t="shared" ca="1" si="36"/>
        <v>-</v>
      </c>
      <c r="T108" s="238">
        <f t="shared" ca="1" si="32"/>
        <v>0</v>
      </c>
      <c r="U108" s="47"/>
      <c r="V108" s="230">
        <f xml:space="preserve"> _xlfn.IFNA( VLOOKUP( $C108, 'INPUTS│Performance Commitments'!$C$205:$L$217, MATCH( V$4, 'INPUTS│Performance Commitments'!$K$3:$L$3, 0 ) + 8, 0 ), "-" )</f>
        <v>453</v>
      </c>
      <c r="W108" s="230" t="str">
        <f ca="1" xml:space="preserve"> IF( $D108 &gt; 1, OFFSET( 'INPUTS│Performance Commitments'!$J$205, MATCH( $C108, 'INPUTS│Performance Commitments'!$C$205:$C$217, 0 ), MATCH( $V$4, 'INPUTS│Performance Commitments'!$K$3:$L$3, 0 ) ), "-" )</f>
        <v>-</v>
      </c>
      <c r="X108" s="230">
        <f xml:space="preserve"> _xlfn.IFNA( VLOOKUP( $C108, 'INPUTS│Performance Commitments'!$C$189:$L$201, MATCH( X$4, 'INPUTS│Performance Commitments'!$K$3:$L$3, 0 ) + 8, 0 ), "-" )</f>
        <v>382</v>
      </c>
      <c r="Y108" s="230" t="str">
        <f ca="1" xml:space="preserve"> IF( $D108 &gt; 1, OFFSET( 'INPUTS│Performance Commitments'!$J$189, MATCH( $C108, 'INPUTS│Performance Commitments'!$C$189:$C$201, 0 ), MATCH( $X$4, 'INPUTS│Performance Commitments'!$K$3:$L$3, 0 ) ), "-" )</f>
        <v>-</v>
      </c>
    </row>
    <row r="109" spans="2:26" outlineLevel="1" x14ac:dyDescent="0.25">
      <c r="C109" s="8" t="s">
        <v>96</v>
      </c>
      <c r="D109" s="171">
        <f xml:space="preserve"> COUNTIF( 'INPUTS│Performance Commitments'!$C$189:$C$201, C109 )</f>
        <v>1</v>
      </c>
      <c r="E109" s="47"/>
      <c r="F109" s="101">
        <f xml:space="preserve"> _xlfn.IFNA( VLOOKUP( $C109, 'INPUTS│Performance Commitments'!$C$205:$I$217, MATCH( F$4, 'INPUTS│Performance Commitments'!$G$3:$I$3, 0 ) + 4, 0 ), "-" )</f>
        <v>1032</v>
      </c>
      <c r="G109" s="101" t="str">
        <f ca="1" xml:space="preserve"> IF( $D109 &gt; 1, OFFSET( 'INPUTS│Performance Commitments'!$F$205, MATCH( $C109, 'INPUTS│Performance Commitments'!$C$205:$C$217, 0 ), MATCH( $F$4, 'INPUTS│Performance Commitments'!$G$3:$I$3, 0 ) ), "-" )</f>
        <v>-</v>
      </c>
      <c r="H109" s="101">
        <f xml:space="preserve"> _xlfn.IFNA( VLOOKUP( $C109, 'INPUTS│Performance Commitments'!$C$189:$I$201, MATCH( H$4, 'INPUTS│Performance Commitments'!$G$3:$I$3, 0 ) + 4, 0 ), "-" )</f>
        <v>1085</v>
      </c>
      <c r="I109" s="101" t="str">
        <f ca="1" xml:space="preserve"> IF( $D109 &gt; 1, OFFSET( 'INPUTS│Performance Commitments'!$F$189, MATCH( $C109, 'INPUTS│Performance Commitments'!$C$189:$C$201, 0 ), MATCH( $H$4, 'INPUTS│Performance Commitments'!$G$3:$I$3, 0 ) ), "-" )</f>
        <v>-</v>
      </c>
      <c r="J109" s="77" t="str">
        <f t="shared" si="33"/>
        <v>Met</v>
      </c>
      <c r="K109" s="77" t="str">
        <f t="shared" ca="1" si="34"/>
        <v>-</v>
      </c>
      <c r="L109" s="238">
        <f t="shared" ca="1" si="37"/>
        <v>1</v>
      </c>
      <c r="M109" s="47"/>
      <c r="N109" s="101">
        <f xml:space="preserve"> _xlfn.IFNA( VLOOKUP( $C109, 'INPUTS│Performance Commitments'!$C$205:$I$217, MATCH( N$4, 'INPUTS│Performance Commitments'!$G$3:$I$3, 0 ) + 4, 0 ), "-" )</f>
        <v>1058</v>
      </c>
      <c r="O109" s="101" t="str">
        <f ca="1" xml:space="preserve"> IF( $D109 &gt; 1, OFFSET( 'INPUTS│Performance Commitments'!$F$205, MATCH( $C109, 'INPUTS│Performance Commitments'!$C$205:$C$217, 0 ), MATCH( $N$4, 'INPUTS│Performance Commitments'!$G$3:$I$3, 0 ) ), "-" )</f>
        <v>-</v>
      </c>
      <c r="P109" s="101">
        <f xml:space="preserve"> _xlfn.IFNA( VLOOKUP( $C109, 'INPUTS│Performance Commitments'!$C$189:$I$201, MATCH( P$4, 'INPUTS│Performance Commitments'!$G$3:$I$3, 0 ) + 4, 0 ), "-" )</f>
        <v>1085</v>
      </c>
      <c r="Q109" s="101" t="str">
        <f ca="1" xml:space="preserve"> IF( $D109 &gt; 1, OFFSET( 'INPUTS│Performance Commitments'!$F$189, MATCH( $C109, 'INPUTS│Performance Commitments'!$C$189:$C$201, 0 ), MATCH( $P$4, 'INPUTS│Performance Commitments'!$G$3:$I$3, 0 ) ), "-" )</f>
        <v>-</v>
      </c>
      <c r="R109" s="77" t="str">
        <f t="shared" si="35"/>
        <v>Met</v>
      </c>
      <c r="S109" s="77" t="str">
        <f t="shared" ca="1" si="36"/>
        <v>-</v>
      </c>
      <c r="T109" s="238">
        <f t="shared" ca="1" si="32"/>
        <v>1</v>
      </c>
      <c r="U109" s="47"/>
      <c r="V109" s="230">
        <f xml:space="preserve"> _xlfn.IFNA( VLOOKUP( $C109, 'INPUTS│Performance Commitments'!$C$205:$L$217, MATCH( V$4, 'INPUTS│Performance Commitments'!$K$3:$L$3, 0 ) + 8, 0 ), "-" )</f>
        <v>1058</v>
      </c>
      <c r="W109" s="230" t="str">
        <f ca="1" xml:space="preserve"> IF( $D109 &gt; 1, OFFSET( 'INPUTS│Performance Commitments'!$J$205, MATCH( $C109, 'INPUTS│Performance Commitments'!$C$205:$C$217, 0 ), MATCH( $V$4, 'INPUTS│Performance Commitments'!$K$3:$L$3, 0 ) ), "-" )</f>
        <v>-</v>
      </c>
      <c r="X109" s="230">
        <f xml:space="preserve"> _xlfn.IFNA( VLOOKUP( $C109, 'INPUTS│Performance Commitments'!$C$189:$L$201, MATCH( X$4, 'INPUTS│Performance Commitments'!$K$3:$L$3, 0 ) + 8, 0 ), "-" )</f>
        <v>1085</v>
      </c>
      <c r="Y109" s="230" t="str">
        <f ca="1" xml:space="preserve"> IF( $D109 &gt; 1, OFFSET( 'INPUTS│Performance Commitments'!$J$189, MATCH( $C109, 'INPUTS│Performance Commitments'!$C$189:$C$201, 0 ), MATCH( $X$4, 'INPUTS│Performance Commitments'!$K$3:$L$3, 0 ) ), "-" )</f>
        <v>-</v>
      </c>
    </row>
    <row r="110" spans="2:26" outlineLevel="1" x14ac:dyDescent="0.25">
      <c r="C110" s="8" t="s">
        <v>98</v>
      </c>
      <c r="D110" s="171">
        <f xml:space="preserve"> COUNTIF( 'INPUTS│Performance Commitments'!$C$189:$C$201, C110 )</f>
        <v>2</v>
      </c>
      <c r="E110" s="47"/>
      <c r="F110" s="101">
        <f xml:space="preserve"> _xlfn.IFNA( VLOOKUP( $C110, 'INPUTS│Performance Commitments'!$C$205:$I$217, MATCH( F$4, 'INPUTS│Performance Commitments'!$G$3:$I$3, 0 ) + 4, 0 ), "-" )</f>
        <v>551</v>
      </c>
      <c r="G110" s="101">
        <f ca="1" xml:space="preserve"> IF( $D110 &gt; 1, OFFSET( 'INPUTS│Performance Commitments'!$F$205, MATCH( $C110, 'INPUTS│Performance Commitments'!$C$205:$C$217, 0 ), MATCH( $F$4, 'INPUTS│Performance Commitments'!$G$3:$I$3, 0 ) ), "-" )</f>
        <v>15</v>
      </c>
      <c r="H110" s="101">
        <f xml:space="preserve"> _xlfn.IFNA( VLOOKUP( $C110, 'INPUTS│Performance Commitments'!$C$189:$I$201, MATCH( H$4, 'INPUTS│Performance Commitments'!$G$3:$I$3, 0 ) + 4, 0 ), "-" )</f>
        <v>375</v>
      </c>
      <c r="I110" s="101">
        <f ca="1" xml:space="preserve"> IF( $D110 &gt; 1, OFFSET( 'INPUTS│Performance Commitments'!$F$189, MATCH( $C110, 'INPUTS│Performance Commitments'!$C$189:$C$201, 0 ), MATCH( $H$4, 'INPUTS│Performance Commitments'!$G$3:$I$3, 0 ) ), "-" )</f>
        <v>55</v>
      </c>
      <c r="J110" s="77" t="str">
        <f t="shared" si="33"/>
        <v>Failed</v>
      </c>
      <c r="K110" s="77" t="str">
        <f t="shared" ca="1" si="34"/>
        <v>Met</v>
      </c>
      <c r="L110" s="238">
        <f t="shared" ca="1" si="37"/>
        <v>0.5</v>
      </c>
      <c r="M110" s="47"/>
      <c r="N110" s="101">
        <f xml:space="preserve"> _xlfn.IFNA( VLOOKUP( $C110, 'INPUTS│Performance Commitments'!$C$205:$I$217, MATCH( N$4, 'INPUTS│Performance Commitments'!$G$3:$I$3, 0 ) + 4, 0 ), "-" )</f>
        <v>611</v>
      </c>
      <c r="O110" s="101">
        <f ca="1" xml:space="preserve"> IF( $D110 &gt; 1, OFFSET( 'INPUTS│Performance Commitments'!$F$205, MATCH( $C110, 'INPUTS│Performance Commitments'!$C$205:$C$217, 0 ), MATCH( $N$4, 'INPUTS│Performance Commitments'!$G$3:$I$3, 0 ) ), "-" )</f>
        <v>163</v>
      </c>
      <c r="P110" s="101">
        <f xml:space="preserve"> _xlfn.IFNA( VLOOKUP( $C110, 'INPUTS│Performance Commitments'!$C$189:$I$201, MATCH( P$4, 'INPUTS│Performance Commitments'!$G$3:$I$3, 0 ) + 4, 0 ), "-" )</f>
        <v>375</v>
      </c>
      <c r="Q110" s="101">
        <f ca="1" xml:space="preserve"> IF( $D110 &gt; 1, OFFSET( 'INPUTS│Performance Commitments'!$F$189, MATCH( $C110, 'INPUTS│Performance Commitments'!$C$189:$C$201, 0 ), MATCH( $P$4, 'INPUTS│Performance Commitments'!$G$3:$I$3, 0 ) ), "-" )</f>
        <v>55</v>
      </c>
      <c r="R110" s="77" t="str">
        <f t="shared" si="35"/>
        <v>Failed</v>
      </c>
      <c r="S110" s="77" t="str">
        <f t="shared" ca="1" si="36"/>
        <v>Failed</v>
      </c>
      <c r="T110" s="238">
        <f t="shared" ca="1" si="32"/>
        <v>0</v>
      </c>
      <c r="U110" s="47"/>
      <c r="V110" s="230">
        <f xml:space="preserve"> _xlfn.IFNA( VLOOKUP( $C110, 'INPUTS│Performance Commitments'!$C$205:$L$217, MATCH( V$4, 'INPUTS│Performance Commitments'!$K$3:$L$3, 0 ) + 8, 0 ), "-" )</f>
        <v>611</v>
      </c>
      <c r="W110" s="230">
        <f ca="1" xml:space="preserve"> IF( $D110 &gt; 1, OFFSET( 'INPUTS│Performance Commitments'!$J$205, MATCH( $C110, 'INPUTS│Performance Commitments'!$C$205:$C$217, 0 ), MATCH( $V$4, 'INPUTS│Performance Commitments'!$K$3:$L$3, 0 ) ), "-" )</f>
        <v>163</v>
      </c>
      <c r="X110" s="230">
        <f xml:space="preserve"> _xlfn.IFNA( VLOOKUP( $C110, 'INPUTS│Performance Commitments'!$C$189:$L$201, MATCH( X$4, 'INPUTS│Performance Commitments'!$K$3:$L$3, 0 ) + 8, 0 ), "-" )</f>
        <v>375</v>
      </c>
      <c r="Y110" s="230">
        <f ca="1" xml:space="preserve"> IF( $D110 &gt; 1, OFFSET( 'INPUTS│Performance Commitments'!$J$189, MATCH( $C110, 'INPUTS│Performance Commitments'!$C$189:$C$201, 0 ), MATCH( $X$4, 'INPUTS│Performance Commitments'!$K$3:$L$3, 0 ) ), "-" )</f>
        <v>55</v>
      </c>
    </row>
    <row r="111" spans="2:26" outlineLevel="1" x14ac:dyDescent="0.25">
      <c r="C111" s="8" t="s">
        <v>100</v>
      </c>
      <c r="D111" s="171">
        <f xml:space="preserve"> COUNTIF( 'INPUTS│Performance Commitments'!$C$189:$C$201, C111 )</f>
        <v>1</v>
      </c>
      <c r="E111" s="47"/>
      <c r="F111" s="101">
        <f xml:space="preserve"> _xlfn.IFNA( VLOOKUP( $C111, 'INPUTS│Performance Commitments'!$C$205:$I$217, MATCH( F$4, 'INPUTS│Performance Commitments'!$G$3:$I$3, 0 ) + 4, 0 ), "-" )</f>
        <v>1.43</v>
      </c>
      <c r="G111" s="101" t="str">
        <f ca="1" xml:space="preserve"> IF( $D111 &gt; 1, OFFSET( 'INPUTS│Performance Commitments'!$F$205, MATCH( $C111, 'INPUTS│Performance Commitments'!$C$205:$C$217, 0 ), MATCH( $F$4, 'INPUTS│Performance Commitments'!$G$3:$I$3, 0 ) ), "-" )</f>
        <v>-</v>
      </c>
      <c r="H111" s="101">
        <f xml:space="preserve"> _xlfn.IFNA( VLOOKUP( $C111, 'INPUTS│Performance Commitments'!$C$189:$I$201, MATCH( H$4, 'INPUTS│Performance Commitments'!$G$3:$I$3, 0 ) + 4, 0 ), "-" )</f>
        <v>1.68</v>
      </c>
      <c r="I111" s="101" t="str">
        <f ca="1" xml:space="preserve"> IF( $D111 &gt; 1, OFFSET( 'INPUTS│Performance Commitments'!$F$189, MATCH( $C111, 'INPUTS│Performance Commitments'!$C$189:$C$201, 0 ), MATCH( $H$4, 'INPUTS│Performance Commitments'!$G$3:$I$3, 0 ) ), "-" )</f>
        <v>-</v>
      </c>
      <c r="J111" s="77" t="str">
        <f t="shared" si="33"/>
        <v>Met</v>
      </c>
      <c r="K111" s="77" t="str">
        <f t="shared" ca="1" si="34"/>
        <v>-</v>
      </c>
      <c r="L111" s="238">
        <f t="shared" ca="1" si="37"/>
        <v>1</v>
      </c>
      <c r="M111" s="47"/>
      <c r="N111" s="101">
        <f xml:space="preserve"> _xlfn.IFNA( VLOOKUP( $C111, 'INPUTS│Performance Commitments'!$C$205:$I$217, MATCH( N$4, 'INPUTS│Performance Commitments'!$G$3:$I$3, 0 ) + 4, 0 ), "-" )</f>
        <v>1.1599999999999999</v>
      </c>
      <c r="O111" s="101" t="str">
        <f ca="1" xml:space="preserve"> IF( $D111 &gt; 1, OFFSET( 'INPUTS│Performance Commitments'!$F$205, MATCH( $C111, 'INPUTS│Performance Commitments'!$C$205:$C$217, 0 ), MATCH( $N$4, 'INPUTS│Performance Commitments'!$G$3:$I$3, 0 ) ), "-" )</f>
        <v>-</v>
      </c>
      <c r="P111" s="101">
        <f xml:space="preserve"> _xlfn.IFNA( VLOOKUP( $C111, 'INPUTS│Performance Commitments'!$C$189:$I$201, MATCH( P$4, 'INPUTS│Performance Commitments'!$G$3:$I$3, 0 ) + 4, 0 ), "-" )</f>
        <v>1.66</v>
      </c>
      <c r="Q111" s="101" t="str">
        <f ca="1" xml:space="preserve"> IF( $D111 &gt; 1, OFFSET( 'INPUTS│Performance Commitments'!$F$189, MATCH( $C111, 'INPUTS│Performance Commitments'!$C$189:$C$201, 0 ), MATCH( $P$4, 'INPUTS│Performance Commitments'!$G$3:$I$3, 0 ) ), "-" )</f>
        <v>-</v>
      </c>
      <c r="R111" s="77" t="str">
        <f t="shared" si="35"/>
        <v>Met</v>
      </c>
      <c r="S111" s="77" t="str">
        <f t="shared" ca="1" si="36"/>
        <v>-</v>
      </c>
      <c r="T111" s="238">
        <f t="shared" ca="1" si="32"/>
        <v>1</v>
      </c>
      <c r="U111" s="47"/>
      <c r="V111" s="230">
        <f xml:space="preserve"> _xlfn.IFNA( VLOOKUP( $C111, 'INPUTS│Performance Commitments'!$C$205:$L$217, MATCH( V$4, 'INPUTS│Performance Commitments'!$K$3:$L$3, 0 ) + 8, 0 ), "-" )</f>
        <v>146</v>
      </c>
      <c r="W111" s="230" t="str">
        <f ca="1" xml:space="preserve"> IF( $D111 &gt; 1, OFFSET( 'INPUTS│Performance Commitments'!$J$205, MATCH( $C111, 'INPUTS│Performance Commitments'!$C$205:$C$217, 0 ), MATCH( $V$4, 'INPUTS│Performance Commitments'!$K$3:$L$3, 0 ) ), "-" )</f>
        <v>-</v>
      </c>
      <c r="X111" s="230">
        <f xml:space="preserve"> _xlfn.IFNA( VLOOKUP( $C111, 'INPUTS│Performance Commitments'!$C$189:$L$201, MATCH( X$4, 'INPUTS│Performance Commitments'!$K$3:$L$3, 0 ) + 8, 0 ), "-" )</f>
        <v>209</v>
      </c>
      <c r="Y111" s="230" t="str">
        <f ca="1" xml:space="preserve"> IF( $D111 &gt; 1, OFFSET( 'INPUTS│Performance Commitments'!$J$189, MATCH( $C111, 'INPUTS│Performance Commitments'!$C$189:$C$201, 0 ), MATCH( $X$4, 'INPUTS│Performance Commitments'!$K$3:$L$3, 0 ) ), "-" )</f>
        <v>-</v>
      </c>
    </row>
    <row r="112" spans="2:26" outlineLevel="1" x14ac:dyDescent="0.25">
      <c r="C112" s="8" t="s">
        <v>102</v>
      </c>
      <c r="D112" s="171">
        <f xml:space="preserve"> COUNTIF( 'INPUTS│Performance Commitments'!$C$189:$C$201, C112 )</f>
        <v>1</v>
      </c>
      <c r="E112" s="47"/>
      <c r="F112" s="101">
        <f xml:space="preserve"> _xlfn.IFNA( VLOOKUP( $C112, 'INPUTS│Performance Commitments'!$C$205:$I$217, MATCH( F$4, 'INPUTS│Performance Commitments'!$G$3:$I$3, 0 ) + 4, 0 ), "-" )</f>
        <v>1692</v>
      </c>
      <c r="G112" s="101" t="str">
        <f ca="1" xml:space="preserve"> IF( $D112 &gt; 1, OFFSET( 'INPUTS│Performance Commitments'!$F$205, MATCH( $C112, 'INPUTS│Performance Commitments'!$C$205:$C$217, 0 ), MATCH( $F$4, 'INPUTS│Performance Commitments'!$G$3:$I$3, 0 ) ), "-" )</f>
        <v>-</v>
      </c>
      <c r="H112" s="101">
        <f xml:space="preserve"> _xlfn.IFNA( VLOOKUP( $C112, 'INPUTS│Performance Commitments'!$C$189:$I$201, MATCH( H$4, 'INPUTS│Performance Commitments'!$G$3:$I$3, 0 ) + 4, 0 ), "-" )</f>
        <v>1919</v>
      </c>
      <c r="I112" s="101" t="str">
        <f ca="1" xml:space="preserve"> IF( $D112 &gt; 1, OFFSET( 'INPUTS│Performance Commitments'!$F$189, MATCH( $C112, 'INPUTS│Performance Commitments'!$C$189:$C$201, 0 ), MATCH( $H$4, 'INPUTS│Performance Commitments'!$G$3:$I$3, 0 ) ), "-" )</f>
        <v>-</v>
      </c>
      <c r="J112" s="77" t="str">
        <f t="shared" si="33"/>
        <v>Met</v>
      </c>
      <c r="K112" s="77" t="str">
        <f t="shared" ca="1" si="34"/>
        <v>-</v>
      </c>
      <c r="L112" s="238">
        <f t="shared" ca="1" si="37"/>
        <v>1</v>
      </c>
      <c r="M112" s="47"/>
      <c r="N112" s="101">
        <f xml:space="preserve"> _xlfn.IFNA( VLOOKUP( $C112, 'INPUTS│Performance Commitments'!$C$205:$I$217, MATCH( N$4, 'INPUTS│Performance Commitments'!$G$3:$I$3, 0 ) + 4, 0 ), "-" )</f>
        <v>1602</v>
      </c>
      <c r="O112" s="101" t="str">
        <f ca="1" xml:space="preserve"> IF( $D112 &gt; 1, OFFSET( 'INPUTS│Performance Commitments'!$F$205, MATCH( $C112, 'INPUTS│Performance Commitments'!$C$205:$C$217, 0 ), MATCH( $N$4, 'INPUTS│Performance Commitments'!$G$3:$I$3, 0 ) ), "-" )</f>
        <v>-</v>
      </c>
      <c r="P112" s="101">
        <f xml:space="preserve"> _xlfn.IFNA( VLOOKUP( $C112, 'INPUTS│Performance Commitments'!$C$189:$I$201, MATCH( P$4, 'INPUTS│Performance Commitments'!$G$3:$I$3, 0 ) + 4, 0 ), "-" )</f>
        <v>1919</v>
      </c>
      <c r="Q112" s="101" t="str">
        <f ca="1" xml:space="preserve"> IF( $D112 &gt; 1, OFFSET( 'INPUTS│Performance Commitments'!$F$189, MATCH( $C112, 'INPUTS│Performance Commitments'!$C$189:$C$201, 0 ), MATCH( $P$4, 'INPUTS│Performance Commitments'!$G$3:$I$3, 0 ) ), "-" )</f>
        <v>-</v>
      </c>
      <c r="R112" s="77" t="str">
        <f t="shared" si="35"/>
        <v>Met</v>
      </c>
      <c r="S112" s="77" t="str">
        <f t="shared" ca="1" si="36"/>
        <v>-</v>
      </c>
      <c r="T112" s="238">
        <f t="shared" ca="1" si="32"/>
        <v>1</v>
      </c>
      <c r="U112" s="47"/>
      <c r="V112" s="230">
        <f xml:space="preserve"> _xlfn.IFNA( VLOOKUP( $C112, 'INPUTS│Performance Commitments'!$C$205:$L$217, MATCH( V$4, 'INPUTS│Performance Commitments'!$K$3:$L$3, 0 ) + 8, 0 ), "-" )</f>
        <v>1602</v>
      </c>
      <c r="W112" s="230" t="str">
        <f ca="1" xml:space="preserve"> IF( $D112 &gt; 1, OFFSET( 'INPUTS│Performance Commitments'!$J$205, MATCH( $C112, 'INPUTS│Performance Commitments'!$C$205:$C$217, 0 ), MATCH( $V$4, 'INPUTS│Performance Commitments'!$K$3:$L$3, 0 ) ), "-" )</f>
        <v>-</v>
      </c>
      <c r="X112" s="230">
        <f xml:space="preserve"> _xlfn.IFNA( VLOOKUP( $C112, 'INPUTS│Performance Commitments'!$C$189:$L$201, MATCH( X$4, 'INPUTS│Performance Commitments'!$K$3:$L$3, 0 ) + 8, 0 ), "-" )</f>
        <v>1919</v>
      </c>
      <c r="Y112" s="230" t="str">
        <f ca="1" xml:space="preserve"> IF( $D112 &gt; 1, OFFSET( 'INPUTS│Performance Commitments'!$J$189, MATCH( $C112, 'INPUTS│Performance Commitments'!$C$189:$C$201, 0 ), MATCH( $X$4, 'INPUTS│Performance Commitments'!$K$3:$L$3, 0 ) ), "-" )</f>
        <v>-</v>
      </c>
    </row>
    <row r="114" spans="2:26" ht="13.5" x14ac:dyDescent="0.35">
      <c r="B114" s="9" t="s">
        <v>167</v>
      </c>
      <c r="C114" s="9"/>
      <c r="D114" s="10"/>
      <c r="E114" s="9"/>
      <c r="F114" s="9"/>
      <c r="G114" s="9"/>
      <c r="H114" s="9"/>
      <c r="I114" s="9"/>
      <c r="J114" s="9"/>
      <c r="K114" s="9"/>
      <c r="L114" s="9"/>
      <c r="M114" s="9"/>
      <c r="N114" s="9"/>
      <c r="O114" s="9"/>
      <c r="P114" s="9"/>
      <c r="Q114" s="9"/>
      <c r="R114" s="9"/>
      <c r="S114" s="9"/>
      <c r="T114" s="9"/>
      <c r="U114" s="9"/>
      <c r="V114" s="9"/>
      <c r="W114" s="9"/>
      <c r="X114" s="9"/>
      <c r="Y114" s="9"/>
      <c r="Z114" s="9"/>
    </row>
    <row r="115" spans="2:26" outlineLevel="1" x14ac:dyDescent="0.25"/>
    <row r="116" spans="2:26" outlineLevel="1" x14ac:dyDescent="0.25">
      <c r="C116" s="8" t="s">
        <v>80</v>
      </c>
      <c r="D116" s="171">
        <f xml:space="preserve"> COUNTIF( 'INPUTS│Performance Commitments'!$C$223:$C$238, C116 )</f>
        <v>1</v>
      </c>
      <c r="E116" s="47"/>
      <c r="F116" s="243">
        <f xml:space="preserve"> _xlfn.IFNA( VLOOKUP( $C116, 'INPUTS│Performance Commitments'!$C$242:$I$257, MATCH( F$4, 'INPUTS│Performance Commitments'!$G$3:$I$3, 0 ) + 4, 0 ), "-" )</f>
        <v>185</v>
      </c>
      <c r="G116" s="243" t="str">
        <f ca="1" xml:space="preserve"> IF( $D116 &gt; 1, OFFSET( 'INPUTS│Performance Commitments'!$F$242, MATCH( $C116, 'INPUTS│Performance Commitments'!$C$242:$C$257, 0 ), MATCH( $F$4, 'INPUTS│Performance Commitments'!$G$3:$I$3, 0 ) ), "-" )</f>
        <v>-</v>
      </c>
      <c r="H116" s="243">
        <f xml:space="preserve"> _xlfn.IFNA( VLOOKUP( $C116, 'INPUTS│Performance Commitments'!$C$223:$I$238, MATCH( H$4, 'INPUTS│Performance Commitments'!$G$3:$I$3, 0 ) + 4, 0 ), "-" )</f>
        <v>298</v>
      </c>
      <c r="I116" s="243" t="str">
        <f ca="1" xml:space="preserve"> IF( $D116 &gt; 1, OFFSET( 'INPUTS│Performance Commitments'!$F$223, MATCH( $C116, 'INPUTS│Performance Commitments'!$C$223:$C$238, 0 ), MATCH( $H$4, 'INPUTS│Performance Commitments'!$G$3:$I$3, 0 ) ), "-" )</f>
        <v>-</v>
      </c>
      <c r="J116" s="77" t="str">
        <f xml:space="preserve"> IF( H116 &lt;&gt; "-", IF( F116 &lt;= H116, "Met", "Failed" ), "-" )</f>
        <v>Met</v>
      </c>
      <c r="K116" s="77" t="str">
        <f ca="1" xml:space="preserve"> IF( I116 &lt;&gt; "-", IF( G116 &lt;= I116, "Met", "Failed" ), "-" )</f>
        <v>-</v>
      </c>
      <c r="L116" s="238">
        <f t="shared" ref="L116:L124" ca="1" si="38" xml:space="preserve"> IF( H116 = "-", "-", COUNTIF( J116:K116, "Met" ) / $D116 )</f>
        <v>1</v>
      </c>
      <c r="M116" s="47"/>
      <c r="N116" s="243">
        <f xml:space="preserve"> _xlfn.IFNA( VLOOKUP( $C116, 'INPUTS│Performance Commitments'!$C$242:$I$257, MATCH( N$4, 'INPUTS│Performance Commitments'!$G$3:$I$3, 0 ) + 4, 0 ), "-" )</f>
        <v>254</v>
      </c>
      <c r="O116" s="243" t="str">
        <f ca="1" xml:space="preserve"> IF( $D116 &gt; 1, OFFSET( 'INPUTS│Performance Commitments'!$F$242, MATCH( $C116, 'INPUTS│Performance Commitments'!$C$242:$C$257, 0 ), MATCH( $N$4, 'INPUTS│Performance Commitments'!$G$3:$I$3, 0 ) ), "-" )</f>
        <v>-</v>
      </c>
      <c r="P116" s="243">
        <f xml:space="preserve"> _xlfn.IFNA( VLOOKUP( $C116, 'INPUTS│Performance Commitments'!$C$223:$I$238, MATCH( P$4, 'INPUTS│Performance Commitments'!$G$3:$I$3, 0 ) + 4, 0 ), "-" )</f>
        <v>298</v>
      </c>
      <c r="Q116" s="243" t="str">
        <f ca="1" xml:space="preserve"> IF( $D116 &gt; 1, OFFSET( 'INPUTS│Performance Commitments'!$F$223, MATCH( $C116, 'INPUTS│Performance Commitments'!$C$223:$C$238, 0 ), MATCH( $P$4, 'INPUTS│Performance Commitments'!$G$3:$I$3, 0 ) ), "-" )</f>
        <v>-</v>
      </c>
      <c r="R116" s="77" t="str">
        <f xml:space="preserve"> IF( P116 &lt;&gt; "-", IF( N116 &lt;= P116, "Met", "Failed" ), "-" )</f>
        <v>Met</v>
      </c>
      <c r="S116" s="77" t="str">
        <f ca="1" xml:space="preserve"> IF( Q116 &lt;&gt; "-", IF( O116 &lt;= Q116, "Met", "Failed" ), "-" )</f>
        <v>-</v>
      </c>
      <c r="T116" s="238">
        <f t="shared" ref="T116:T124" ca="1" si="39" xml:space="preserve"> IF( P116 = "-", "-", COUNTIF( R116:S116, "Met" ) / $D116 )</f>
        <v>1</v>
      </c>
      <c r="U116" s="47"/>
      <c r="V116" s="240">
        <f xml:space="preserve"> _xlfn.IFNA( VLOOKUP( $C116, 'INPUTS│Performance Commitments'!$C$242:$L$257, MATCH( V$4, 'INPUTS│Performance Commitments'!$K$3:$L$3, 0 ) + 8, 0 ), "-" )</f>
        <v>254</v>
      </c>
      <c r="W116" s="240" t="str">
        <f ca="1" xml:space="preserve"> IF( $D116 &gt; 1, OFFSET( 'INPUTS│Performance Commitments'!$J$242, MATCH( $C116, 'INPUTS│Performance Commitments'!$C$242:$C$257, 0 ), MATCH( $V$4, 'INPUTS│Performance Commitments'!$K$3:$L$3, 0 ) ), "-" )</f>
        <v>-</v>
      </c>
      <c r="X116" s="240">
        <f xml:space="preserve"> _xlfn.IFNA( VLOOKUP( $C116, 'INPUTS│Performance Commitments'!$C$223:$L$238, MATCH( X$4, 'INPUTS│Performance Commitments'!$K$3:$L$3, 0 ) + 8, 0 ), "-" )</f>
        <v>298</v>
      </c>
      <c r="Y116" s="240" t="str">
        <f ca="1" xml:space="preserve"> IF( $D116 &gt; 1, OFFSET( 'INPUTS│Performance Commitments'!$J$223, MATCH( $C116, 'INPUTS│Performance Commitments'!$C$223:$C$238, 0 ), MATCH( $X$4, 'INPUTS│Performance Commitments'!$K$3:$L$3, 0 ) ), "-" )</f>
        <v>-</v>
      </c>
    </row>
    <row r="117" spans="2:26" outlineLevel="1" x14ac:dyDescent="0.25">
      <c r="C117" s="8" t="s">
        <v>82</v>
      </c>
      <c r="D117" s="171">
        <f xml:space="preserve"> COUNTIF( 'INPUTS│Performance Commitments'!$C$223:$C$238, C117 )</f>
        <v>1</v>
      </c>
      <c r="E117" s="47"/>
      <c r="F117" s="243">
        <f xml:space="preserve"> _xlfn.IFNA( VLOOKUP( $C117, 'INPUTS│Performance Commitments'!$C$242:$I$257, MATCH( F$4, 'INPUTS│Performance Commitments'!$G$3:$I$3, 0 ) + 4, 0 ), "-" )</f>
        <v>118</v>
      </c>
      <c r="G117" s="243" t="str">
        <f ca="1" xml:space="preserve"> IF( $D117 &gt; 1, OFFSET( 'INPUTS│Performance Commitments'!$F$242, MATCH( $C117, 'INPUTS│Performance Commitments'!$C$242:$C$257, 0 ), MATCH( $F$4, 'INPUTS│Performance Commitments'!$G$3:$I$3, 0 ) ), "-" )</f>
        <v>-</v>
      </c>
      <c r="H117" s="243">
        <f xml:space="preserve"> _xlfn.IFNA( VLOOKUP( $C117, 'INPUTS│Performance Commitments'!$C$223:$I$238, MATCH( H$4, 'INPUTS│Performance Commitments'!$G$3:$I$3, 0 ) + 4, 0 ), "-" )</f>
        <v>131</v>
      </c>
      <c r="I117" s="243" t="str">
        <f ca="1" xml:space="preserve"> IF( $D117 &gt; 1, OFFSET( 'INPUTS│Performance Commitments'!$F$223, MATCH( $C117, 'INPUTS│Performance Commitments'!$C$223:$C$238, 0 ), MATCH( $H$4, 'INPUTS│Performance Commitments'!$G$3:$I$3, 0 ) ), "-" )</f>
        <v>-</v>
      </c>
      <c r="J117" s="77" t="str">
        <f t="shared" ref="J117:J126" si="40" xml:space="preserve"> IF( H117 &lt;&gt; "-", IF( F117 &lt;= H117, "Met", "Failed" ), "-" )</f>
        <v>Met</v>
      </c>
      <c r="K117" s="77" t="str">
        <f t="shared" ref="K117:K126" ca="1" si="41" xml:space="preserve"> IF( I117 &lt;&gt; "-", IF( G117 &lt;= I117, "Met", "Failed" ), "-" )</f>
        <v>-</v>
      </c>
      <c r="L117" s="238">
        <f t="shared" ca="1" si="38"/>
        <v>1</v>
      </c>
      <c r="M117" s="47"/>
      <c r="N117" s="243">
        <f xml:space="preserve"> _xlfn.IFNA( VLOOKUP( $C117, 'INPUTS│Performance Commitments'!$C$242:$I$257, MATCH( N$4, 'INPUTS│Performance Commitments'!$G$3:$I$3, 0 ) + 4, 0 ), "-" )</f>
        <v>120</v>
      </c>
      <c r="O117" s="243" t="str">
        <f ca="1" xml:space="preserve"> IF( $D117 &gt; 1, OFFSET( 'INPUTS│Performance Commitments'!$F$242, MATCH( $C117, 'INPUTS│Performance Commitments'!$C$242:$C$257, 0 ), MATCH( $N$4, 'INPUTS│Performance Commitments'!$G$3:$I$3, 0 ) ), "-" )</f>
        <v>-</v>
      </c>
      <c r="P117" s="243">
        <f xml:space="preserve"> _xlfn.IFNA( VLOOKUP( $C117, 'INPUTS│Performance Commitments'!$C$223:$I$238, MATCH( P$4, 'INPUTS│Performance Commitments'!$G$3:$I$3, 0 ) + 4, 0 ), "-" )</f>
        <v>131</v>
      </c>
      <c r="Q117" s="243" t="str">
        <f ca="1" xml:space="preserve"> IF( $D117 &gt; 1, OFFSET( 'INPUTS│Performance Commitments'!$F$223, MATCH( $C117, 'INPUTS│Performance Commitments'!$C$223:$C$238, 0 ), MATCH( $P$4, 'INPUTS│Performance Commitments'!$G$3:$I$3, 0 ) ), "-" )</f>
        <v>-</v>
      </c>
      <c r="R117" s="77" t="str">
        <f t="shared" ref="R117:R126" si="42" xml:space="preserve"> IF( P117 &lt;&gt; "-", IF( N117 &lt;= P117, "Met", "Failed" ), "-" )</f>
        <v>Met</v>
      </c>
      <c r="S117" s="77" t="str">
        <f t="shared" ref="S117:S126" ca="1" si="43" xml:space="preserve"> IF( Q117 &lt;&gt; "-", IF( O117 &lt;= Q117, "Met", "Failed" ), "-" )</f>
        <v>-</v>
      </c>
      <c r="T117" s="238">
        <f t="shared" ca="1" si="39"/>
        <v>1</v>
      </c>
      <c r="U117" s="47"/>
      <c r="V117" s="240">
        <f xml:space="preserve"> _xlfn.IFNA( VLOOKUP( $C117, 'INPUTS│Performance Commitments'!$C$242:$L$257, MATCH( V$4, 'INPUTS│Performance Commitments'!$K$3:$L$3, 0 ) + 8, 0 ), "-" )</f>
        <v>120</v>
      </c>
      <c r="W117" s="240" t="str">
        <f ca="1" xml:space="preserve"> IF( $D117 &gt; 1, OFFSET( 'INPUTS│Performance Commitments'!$J$242, MATCH( $C117, 'INPUTS│Performance Commitments'!$C$242:$C$257, 0 ), MATCH( $V$4, 'INPUTS│Performance Commitments'!$K$3:$L$3, 0 ) ), "-" )</f>
        <v>-</v>
      </c>
      <c r="X117" s="240">
        <f xml:space="preserve"> _xlfn.IFNA( VLOOKUP( $C117, 'INPUTS│Performance Commitments'!$C$223:$L$238, MATCH( X$4, 'INPUTS│Performance Commitments'!$K$3:$L$3, 0 ) + 8, 0 ), "-" )</f>
        <v>131</v>
      </c>
      <c r="Y117" s="240" t="str">
        <f ca="1" xml:space="preserve"> IF( $D117 &gt; 1, OFFSET( 'INPUTS│Performance Commitments'!$J$223, MATCH( $C117, 'INPUTS│Performance Commitments'!$C$223:$C$238, 0 ), MATCH( $X$4, 'INPUTS│Performance Commitments'!$K$3:$L$3, 0 ) ), "-" )</f>
        <v>-</v>
      </c>
    </row>
    <row r="118" spans="2:26" outlineLevel="1" x14ac:dyDescent="0.25">
      <c r="C118" s="8" t="s">
        <v>85</v>
      </c>
      <c r="D118" s="171">
        <f xml:space="preserve"> COUNTIF( 'INPUTS│Performance Commitments'!$C$223:$C$238, C118 )</f>
        <v>2</v>
      </c>
      <c r="E118" s="47"/>
      <c r="F118" s="243">
        <f xml:space="preserve"> _xlfn.IFNA( VLOOKUP( $C118, 'INPUTS│Performance Commitments'!$C$242:$I$257, MATCH( F$4, 'INPUTS│Performance Commitments'!$G$3:$I$3, 0 ) + 4, 0 ), "-" )</f>
        <v>1</v>
      </c>
      <c r="G118" s="243">
        <f ca="1" xml:space="preserve"> IF( $D118 &gt; 1, OFFSET( 'INPUTS│Performance Commitments'!$F$242, MATCH( $C118, 'INPUTS│Performance Commitments'!$C$242:$C$257, 0 ), MATCH( $F$4, 'INPUTS│Performance Commitments'!$G$3:$I$3, 0 ) ), "-" )</f>
        <v>0</v>
      </c>
      <c r="H118" s="243">
        <f xml:space="preserve"> _xlfn.IFNA( VLOOKUP( $C118, 'INPUTS│Performance Commitments'!$C$223:$I$238, MATCH( H$4, 'INPUTS│Performance Commitments'!$G$3:$I$3, 0 ) + 4, 0 ), "-" )</f>
        <v>5</v>
      </c>
      <c r="I118" s="243">
        <f ca="1" xml:space="preserve"> IF( $D118 &gt; 1, OFFSET( 'INPUTS│Performance Commitments'!$F$223, MATCH( $C118, 'INPUTS│Performance Commitments'!$C$223:$C$238, 0 ), MATCH( $H$4, 'INPUTS│Performance Commitments'!$G$3:$I$3, 0 ) ), "-" )</f>
        <v>0</v>
      </c>
      <c r="J118" s="77" t="str">
        <f t="shared" si="40"/>
        <v>Met</v>
      </c>
      <c r="K118" s="77" t="str">
        <f t="shared" ca="1" si="41"/>
        <v>Met</v>
      </c>
      <c r="L118" s="238">
        <f t="shared" ca="1" si="38"/>
        <v>1</v>
      </c>
      <c r="M118" s="47"/>
      <c r="N118" s="243">
        <f xml:space="preserve"> _xlfn.IFNA( VLOOKUP( $C118, 'INPUTS│Performance Commitments'!$C$242:$I$257, MATCH( N$4, 'INPUTS│Performance Commitments'!$G$3:$I$3, 0 ) + 4, 0 ), "-" )</f>
        <v>4</v>
      </c>
      <c r="O118" s="243">
        <f ca="1" xml:space="preserve"> IF( $D118 &gt; 1, OFFSET( 'INPUTS│Performance Commitments'!$F$242, MATCH( $C118, 'INPUTS│Performance Commitments'!$C$242:$C$257, 0 ), MATCH( $N$4, 'INPUTS│Performance Commitments'!$G$3:$I$3, 0 ) ), "-" )</f>
        <v>0</v>
      </c>
      <c r="P118" s="243">
        <f xml:space="preserve"> _xlfn.IFNA( VLOOKUP( $C118, 'INPUTS│Performance Commitments'!$C$223:$I$238, MATCH( P$4, 'INPUTS│Performance Commitments'!$G$3:$I$3, 0 ) + 4, 0 ), "-" )</f>
        <v>10</v>
      </c>
      <c r="Q118" s="243">
        <f ca="1" xml:space="preserve"> IF( $D118 &gt; 1, OFFSET( 'INPUTS│Performance Commitments'!$F$223, MATCH( $C118, 'INPUTS│Performance Commitments'!$C$223:$C$238, 0 ), MATCH( $P$4, 'INPUTS│Performance Commitments'!$G$3:$I$3, 0 ) ), "-" )</f>
        <v>0</v>
      </c>
      <c r="R118" s="77" t="str">
        <f t="shared" si="42"/>
        <v>Met</v>
      </c>
      <c r="S118" s="77" t="str">
        <f t="shared" ca="1" si="43"/>
        <v>Met</v>
      </c>
      <c r="T118" s="238">
        <f t="shared" ca="1" si="39"/>
        <v>1</v>
      </c>
      <c r="U118" s="47"/>
      <c r="V118" s="240">
        <f xml:space="preserve"> _xlfn.IFNA( VLOOKUP( $C118, 'INPUTS│Performance Commitments'!$C$242:$L$257, MATCH( V$4, 'INPUTS│Performance Commitments'!$K$3:$L$3, 0 ) + 8, 0 ), "-" )</f>
        <v>4</v>
      </c>
      <c r="W118" s="240">
        <f ca="1" xml:space="preserve"> IF( $D118 &gt; 1, OFFSET( 'INPUTS│Performance Commitments'!$J$242, MATCH( $C118, 'INPUTS│Performance Commitments'!$C$242:$C$257, 0 ), MATCH( $V$4, 'INPUTS│Performance Commitments'!$K$3:$L$3, 0 ) ), "-" )</f>
        <v>0</v>
      </c>
      <c r="X118" s="240">
        <f xml:space="preserve"> _xlfn.IFNA( VLOOKUP( $C118, 'INPUTS│Performance Commitments'!$C$223:$L$238, MATCH( X$4, 'INPUTS│Performance Commitments'!$K$3:$L$3, 0 ) + 8, 0 ), "-" )</f>
        <v>10</v>
      </c>
      <c r="Y118" s="240">
        <f ca="1" xml:space="preserve"> IF( $D118 &gt; 1, OFFSET( 'INPUTS│Performance Commitments'!$J$223, MATCH( $C118, 'INPUTS│Performance Commitments'!$C$223:$C$238, 0 ), MATCH( $X$4, 'INPUTS│Performance Commitments'!$K$3:$L$3, 0 ) ), "-" )</f>
        <v>0</v>
      </c>
    </row>
    <row r="119" spans="2:26" outlineLevel="1" x14ac:dyDescent="0.25">
      <c r="C119" s="8" t="s">
        <v>87</v>
      </c>
      <c r="D119" s="171">
        <f xml:space="preserve"> COUNTIF( 'INPUTS│Performance Commitments'!$C$223:$C$238, C119 )</f>
        <v>1</v>
      </c>
      <c r="E119" s="47"/>
      <c r="F119" s="243">
        <f xml:space="preserve"> _xlfn.IFNA( VLOOKUP( $C119, 'INPUTS│Performance Commitments'!$C$242:$I$257, MATCH( F$4, 'INPUTS│Performance Commitments'!$G$3:$I$3, 0 ) + 4, 0 ), "-" )</f>
        <v>73</v>
      </c>
      <c r="G119" s="243" t="str">
        <f ca="1" xml:space="preserve"> IF( $D119 &gt; 1, OFFSET( 'INPUTS│Performance Commitments'!$F$242, MATCH( $C119, 'INPUTS│Performance Commitments'!$C$242:$C$257, 0 ), MATCH( $F$4, 'INPUTS│Performance Commitments'!$G$3:$I$3, 0 ) ), "-" )</f>
        <v>-</v>
      </c>
      <c r="H119" s="243">
        <f xml:space="preserve"> _xlfn.IFNA( VLOOKUP( $C119, 'INPUTS│Performance Commitments'!$C$223:$I$238, MATCH( H$4, 'INPUTS│Performance Commitments'!$G$3:$I$3, 0 ) + 4, 0 ), "-" )</f>
        <v>115</v>
      </c>
      <c r="I119" s="243" t="str">
        <f ca="1" xml:space="preserve"> IF( $D119 &gt; 1, OFFSET( 'INPUTS│Performance Commitments'!$F$223, MATCH( $C119, 'INPUTS│Performance Commitments'!$C$223:$C$238, 0 ), MATCH( $H$4, 'INPUTS│Performance Commitments'!$G$3:$I$3, 0 ) ), "-" )</f>
        <v>-</v>
      </c>
      <c r="J119" s="77" t="str">
        <f t="shared" si="40"/>
        <v>Met</v>
      </c>
      <c r="K119" s="77" t="str">
        <f t="shared" ca="1" si="41"/>
        <v>-</v>
      </c>
      <c r="L119" s="238">
        <f t="shared" ca="1" si="38"/>
        <v>1</v>
      </c>
      <c r="M119" s="47"/>
      <c r="N119" s="243">
        <f xml:space="preserve"> _xlfn.IFNA( VLOOKUP( $C119, 'INPUTS│Performance Commitments'!$C$242:$I$257, MATCH( N$4, 'INPUTS│Performance Commitments'!$G$3:$I$3, 0 ) + 4, 0 ), "-" )</f>
        <v>60</v>
      </c>
      <c r="O119" s="243" t="str">
        <f ca="1" xml:space="preserve"> IF( $D119 &gt; 1, OFFSET( 'INPUTS│Performance Commitments'!$F$242, MATCH( $C119, 'INPUTS│Performance Commitments'!$C$242:$C$257, 0 ), MATCH( $N$4, 'INPUTS│Performance Commitments'!$G$3:$I$3, 0 ) ), "-" )</f>
        <v>-</v>
      </c>
      <c r="P119" s="243">
        <f xml:space="preserve"> _xlfn.IFNA( VLOOKUP( $C119, 'INPUTS│Performance Commitments'!$C$223:$I$238, MATCH( P$4, 'INPUTS│Performance Commitments'!$G$3:$I$3, 0 ) + 4, 0 ), "-" )</f>
        <v>115</v>
      </c>
      <c r="Q119" s="243" t="str">
        <f ca="1" xml:space="preserve"> IF( $D119 &gt; 1, OFFSET( 'INPUTS│Performance Commitments'!$F$223, MATCH( $C119, 'INPUTS│Performance Commitments'!$C$223:$C$238, 0 ), MATCH( $P$4, 'INPUTS│Performance Commitments'!$G$3:$I$3, 0 ) ), "-" )</f>
        <v>-</v>
      </c>
      <c r="R119" s="77" t="str">
        <f t="shared" si="42"/>
        <v>Met</v>
      </c>
      <c r="S119" s="77" t="str">
        <f t="shared" ca="1" si="43"/>
        <v>-</v>
      </c>
      <c r="T119" s="238">
        <f t="shared" ca="1" si="39"/>
        <v>1</v>
      </c>
      <c r="U119" s="47"/>
      <c r="V119" s="240">
        <f xml:space="preserve"> _xlfn.IFNA( VLOOKUP( $C119, 'INPUTS│Performance Commitments'!$C$242:$L$257, MATCH( V$4, 'INPUTS│Performance Commitments'!$K$3:$L$3, 0 ) + 8, 0 ), "-" )</f>
        <v>60</v>
      </c>
      <c r="W119" s="240" t="str">
        <f ca="1" xml:space="preserve"> IF( $D119 &gt; 1, OFFSET( 'INPUTS│Performance Commitments'!$J$242, MATCH( $C119, 'INPUTS│Performance Commitments'!$C$242:$C$257, 0 ), MATCH( $V$4, 'INPUTS│Performance Commitments'!$K$3:$L$3, 0 ) ), "-" )</f>
        <v>-</v>
      </c>
      <c r="X119" s="240">
        <f xml:space="preserve"> _xlfn.IFNA( VLOOKUP( $C119, 'INPUTS│Performance Commitments'!$C$223:$L$238, MATCH( X$4, 'INPUTS│Performance Commitments'!$K$3:$L$3, 0 ) + 8, 0 ), "-" )</f>
        <v>115</v>
      </c>
      <c r="Y119" s="240" t="str">
        <f ca="1" xml:space="preserve"> IF( $D119 &gt; 1, OFFSET( 'INPUTS│Performance Commitments'!$J$223, MATCH( $C119, 'INPUTS│Performance Commitments'!$C$223:$C$238, 0 ), MATCH( $X$4, 'INPUTS│Performance Commitments'!$K$3:$L$3, 0 ) ), "-" )</f>
        <v>-</v>
      </c>
    </row>
    <row r="120" spans="2:26" outlineLevel="1" x14ac:dyDescent="0.25">
      <c r="C120" s="8" t="s">
        <v>89</v>
      </c>
      <c r="D120" s="171">
        <f xml:space="preserve"> COUNTIF( 'INPUTS│Performance Commitments'!$C$223:$C$238, C120 )</f>
        <v>2</v>
      </c>
      <c r="E120" s="47"/>
      <c r="F120" s="243">
        <f xml:space="preserve"> _xlfn.IFNA( VLOOKUP( $C120, 'INPUTS│Performance Commitments'!$C$242:$I$257, MATCH( F$4, 'INPUTS│Performance Commitments'!$G$3:$I$3, 0 ) + 4, 0 ), "-" )</f>
        <v>328</v>
      </c>
      <c r="G120" s="243">
        <f ca="1" xml:space="preserve"> IF( $D120 &gt; 1, OFFSET( 'INPUTS│Performance Commitments'!$F$242, MATCH( $C120, 'INPUTS│Performance Commitments'!$C$242:$C$257, 0 ), MATCH( $F$4, 'INPUTS│Performance Commitments'!$G$3:$I$3, 0 ) ), "-" )</f>
        <v>7</v>
      </c>
      <c r="H120" s="243">
        <f xml:space="preserve"> _xlfn.IFNA( VLOOKUP( $C120, 'INPUTS│Performance Commitments'!$C$223:$I$238, MATCH( H$4, 'INPUTS│Performance Commitments'!$G$3:$I$3, 0 ) + 4, 0 ), "-" )</f>
        <v>369</v>
      </c>
      <c r="I120" s="243">
        <f ca="1" xml:space="preserve"> IF( $D120 &gt; 1, OFFSET( 'INPUTS│Performance Commitments'!$F$223, MATCH( $C120, 'INPUTS│Performance Commitments'!$C$223:$C$238, 0 ), MATCH( $H$4, 'INPUTS│Performance Commitments'!$G$3:$I$3, 0 ) ), "-" )</f>
        <v>2</v>
      </c>
      <c r="J120" s="77" t="str">
        <f t="shared" si="40"/>
        <v>Met</v>
      </c>
      <c r="K120" s="77" t="str">
        <f t="shared" ca="1" si="41"/>
        <v>Failed</v>
      </c>
      <c r="L120" s="238">
        <f t="shared" ca="1" si="38"/>
        <v>0.5</v>
      </c>
      <c r="M120" s="47"/>
      <c r="N120" s="243">
        <f xml:space="preserve"> _xlfn.IFNA( VLOOKUP( $C120, 'INPUTS│Performance Commitments'!$C$242:$I$257, MATCH( N$4, 'INPUTS│Performance Commitments'!$G$3:$I$3, 0 ) + 4, 0 ), "-" )</f>
        <v>288</v>
      </c>
      <c r="O120" s="243">
        <f ca="1" xml:space="preserve"> IF( $D120 &gt; 1, OFFSET( 'INPUTS│Performance Commitments'!$F$242, MATCH( $C120, 'INPUTS│Performance Commitments'!$C$242:$C$257, 0 ), MATCH( $N$4, 'INPUTS│Performance Commitments'!$G$3:$I$3, 0 ) ), "-" )</f>
        <v>4</v>
      </c>
      <c r="P120" s="243">
        <f xml:space="preserve"> _xlfn.IFNA( VLOOKUP( $C120, 'INPUTS│Performance Commitments'!$C$223:$I$238, MATCH( P$4, 'INPUTS│Performance Commitments'!$G$3:$I$3, 0 ) + 4, 0 ), "-" )</f>
        <v>318</v>
      </c>
      <c r="Q120" s="243">
        <f ca="1" xml:space="preserve"> IF( $D120 &gt; 1, OFFSET( 'INPUTS│Performance Commitments'!$F$223, MATCH( $C120, 'INPUTS│Performance Commitments'!$C$223:$C$238, 0 ), MATCH( $P$4, 'INPUTS│Performance Commitments'!$G$3:$I$3, 0 ) ), "-" )</f>
        <v>0</v>
      </c>
      <c r="R120" s="77" t="str">
        <f t="shared" si="42"/>
        <v>Met</v>
      </c>
      <c r="S120" s="77" t="str">
        <f t="shared" ca="1" si="43"/>
        <v>Failed</v>
      </c>
      <c r="T120" s="238">
        <f t="shared" ca="1" si="39"/>
        <v>0.5</v>
      </c>
      <c r="U120" s="47"/>
      <c r="V120" s="240">
        <f xml:space="preserve"> _xlfn.IFNA( VLOOKUP( $C120, 'INPUTS│Performance Commitments'!$C$242:$L$257, MATCH( V$4, 'INPUTS│Performance Commitments'!$K$3:$L$3, 0 ) + 8, 0 ), "-" )</f>
        <v>288</v>
      </c>
      <c r="W120" s="240">
        <f ca="1" xml:space="preserve"> IF( $D120 &gt; 1, OFFSET( 'INPUTS│Performance Commitments'!$J$242, MATCH( $C120, 'INPUTS│Performance Commitments'!$C$242:$C$257, 0 ), MATCH( $V$4, 'INPUTS│Performance Commitments'!$K$3:$L$3, 0 ) ), "-" )</f>
        <v>4</v>
      </c>
      <c r="X120" s="240">
        <f xml:space="preserve"> _xlfn.IFNA( VLOOKUP( $C120, 'INPUTS│Performance Commitments'!$C$223:$L$238, MATCH( X$4, 'INPUTS│Performance Commitments'!$K$3:$L$3, 0 ) + 8, 0 ), "-" )</f>
        <v>318</v>
      </c>
      <c r="Y120" s="240">
        <f ca="1" xml:space="preserve"> IF( $D120 &gt; 1, OFFSET( 'INPUTS│Performance Commitments'!$J$223, MATCH( $C120, 'INPUTS│Performance Commitments'!$C$223:$C$238, 0 ), MATCH( $X$4, 'INPUTS│Performance Commitments'!$K$3:$L$3, 0 ) ), "-" )</f>
        <v>0</v>
      </c>
    </row>
    <row r="121" spans="2:26" outlineLevel="1" x14ac:dyDescent="0.25">
      <c r="C121" s="8" t="s">
        <v>118</v>
      </c>
      <c r="D121" s="171">
        <f xml:space="preserve"> COUNTIF( 'INPUTS│Performance Commitments'!$C$223:$C$238, C121 )</f>
        <v>2</v>
      </c>
      <c r="E121" s="47"/>
      <c r="F121" s="243">
        <f xml:space="preserve"> _xlfn.IFNA( VLOOKUP( $C121, 'INPUTS│Performance Commitments'!$C$242:$I$257, MATCH( F$4, 'INPUTS│Performance Commitments'!$G$3:$I$3, 0 ) + 4, 0 ), "-" )</f>
        <v>248</v>
      </c>
      <c r="G121" s="243">
        <f ca="1" xml:space="preserve"> IF( $D121 &gt; 1, OFFSET( 'INPUTS│Performance Commitments'!$F$242, MATCH( $C121, 'INPUTS│Performance Commitments'!$C$242:$C$257, 0 ), MATCH( $F$4, 'INPUTS│Performance Commitments'!$G$3:$I$3, 0 ) ), "-" )</f>
        <v>2</v>
      </c>
      <c r="H121" s="243">
        <f xml:space="preserve"> _xlfn.IFNA( VLOOKUP( $C121, 'INPUTS│Performance Commitments'!$C$223:$I$238, MATCH( H$4, 'INPUTS│Performance Commitments'!$G$3:$I$3, 0 ) + 4, 0 ), "-" )</f>
        <v>208</v>
      </c>
      <c r="I121" s="243">
        <f ca="1" xml:space="preserve"> IF( $D121 &gt; 1, OFFSET( 'INPUTS│Performance Commitments'!$F$223, MATCH( $C121, 'INPUTS│Performance Commitments'!$C$223:$C$238, 0 ), MATCH( $H$4, 'INPUTS│Performance Commitments'!$G$3:$I$3, 0 ) ), "-" )</f>
        <v>0</v>
      </c>
      <c r="J121" s="77" t="str">
        <f t="shared" si="40"/>
        <v>Failed</v>
      </c>
      <c r="K121" s="77" t="str">
        <f t="shared" ca="1" si="41"/>
        <v>Failed</v>
      </c>
      <c r="L121" s="238">
        <f t="shared" ca="1" si="38"/>
        <v>0</v>
      </c>
      <c r="M121" s="47"/>
      <c r="N121" s="243">
        <f xml:space="preserve"> _xlfn.IFNA( VLOOKUP( $C121, 'INPUTS│Performance Commitments'!$C$242:$I$257, MATCH( N$4, 'INPUTS│Performance Commitments'!$G$3:$I$3, 0 ) + 4, 0 ), "-" )</f>
        <v>286</v>
      </c>
      <c r="O121" s="243">
        <f ca="1" xml:space="preserve"> IF( $D121 &gt; 1, OFFSET( 'INPUTS│Performance Commitments'!$F$242, MATCH( $C121, 'INPUTS│Performance Commitments'!$C$242:$C$257, 0 ), MATCH( $N$4, 'INPUTS│Performance Commitments'!$G$3:$I$3, 0 ) ), "-" )</f>
        <v>1</v>
      </c>
      <c r="P121" s="243">
        <f xml:space="preserve"> _xlfn.IFNA( VLOOKUP( $C121, 'INPUTS│Performance Commitments'!$C$223:$I$238, MATCH( P$4, 'INPUTS│Performance Commitments'!$G$3:$I$3, 0 ) + 4, 0 ), "-" )</f>
        <v>198</v>
      </c>
      <c r="Q121" s="243">
        <f ca="1" xml:space="preserve"> IF( $D121 &gt; 1, OFFSET( 'INPUTS│Performance Commitments'!$F$223, MATCH( $C121, 'INPUTS│Performance Commitments'!$C$223:$C$238, 0 ), MATCH( $P$4, 'INPUTS│Performance Commitments'!$G$3:$I$3, 0 ) ), "-" )</f>
        <v>0</v>
      </c>
      <c r="R121" s="77" t="str">
        <f t="shared" si="42"/>
        <v>Failed</v>
      </c>
      <c r="S121" s="77" t="str">
        <f t="shared" ca="1" si="43"/>
        <v>Failed</v>
      </c>
      <c r="T121" s="238">
        <f t="shared" ca="1" si="39"/>
        <v>0</v>
      </c>
      <c r="U121" s="47"/>
      <c r="V121" s="240">
        <f xml:space="preserve"> _xlfn.IFNA( VLOOKUP( $C121, 'INPUTS│Performance Commitments'!$C$242:$L$257, MATCH( V$4, 'INPUTS│Performance Commitments'!$K$3:$L$3, 0 ) + 8, 0 ), "-" )</f>
        <v>286</v>
      </c>
      <c r="W121" s="240">
        <f ca="1" xml:space="preserve"> IF( $D121 &gt; 1, OFFSET( 'INPUTS│Performance Commitments'!$J$242, MATCH( $C121, 'INPUTS│Performance Commitments'!$C$242:$C$257, 0 ), MATCH( $V$4, 'INPUTS│Performance Commitments'!$K$3:$L$3, 0 ) ), "-" )</f>
        <v>1</v>
      </c>
      <c r="X121" s="240">
        <f xml:space="preserve"> _xlfn.IFNA( VLOOKUP( $C121, 'INPUTS│Performance Commitments'!$C$223:$L$238, MATCH( X$4, 'INPUTS│Performance Commitments'!$K$3:$L$3, 0 ) + 8, 0 ), "-" )</f>
        <v>198</v>
      </c>
      <c r="Y121" s="240">
        <f ca="1" xml:space="preserve"> IF( $D121 &gt; 1, OFFSET( 'INPUTS│Performance Commitments'!$J$223, MATCH( $C121, 'INPUTS│Performance Commitments'!$C$223:$C$238, 0 ), MATCH( $X$4, 'INPUTS│Performance Commitments'!$K$3:$L$3, 0 ) ), "-" )</f>
        <v>0</v>
      </c>
    </row>
    <row r="122" spans="2:26" outlineLevel="1" x14ac:dyDescent="0.25">
      <c r="C122" s="8" t="s">
        <v>94</v>
      </c>
      <c r="D122" s="171">
        <f xml:space="preserve"> COUNTIF( 'INPUTS│Performance Commitments'!$C$223:$C$238, C122 )</f>
        <v>2</v>
      </c>
      <c r="E122" s="47"/>
      <c r="F122" s="243">
        <f xml:space="preserve"> _xlfn.IFNA( VLOOKUP( $C122, 'INPUTS│Performance Commitments'!$C$242:$I$257, MATCH( F$4, 'INPUTS│Performance Commitments'!$G$3:$I$3, 0 ) + 4, 0 ), "-" )</f>
        <v>144</v>
      </c>
      <c r="G122" s="243">
        <f ca="1" xml:space="preserve"> IF( $D122 &gt; 1, OFFSET( 'INPUTS│Performance Commitments'!$F$242, MATCH( $C122, 'INPUTS│Performance Commitments'!$C$242:$C$257, 0 ), MATCH( $F$4, 'INPUTS│Performance Commitments'!$G$3:$I$3, 0 ) ), "-" )</f>
        <v>7</v>
      </c>
      <c r="H122" s="243">
        <f xml:space="preserve"> _xlfn.IFNA( VLOOKUP( $C122, 'INPUTS│Performance Commitments'!$C$223:$I$238, MATCH( H$4, 'INPUTS│Performance Commitments'!$G$3:$I$3, 0 ) + 4, 0 ), "-" )</f>
        <v>158</v>
      </c>
      <c r="I122" s="243">
        <f ca="1" xml:space="preserve"> IF( $D122 &gt; 1, OFFSET( 'INPUTS│Performance Commitments'!$F$223, MATCH( $C122, 'INPUTS│Performance Commitments'!$C$223:$C$238, 0 ), MATCH( $H$4, 'INPUTS│Performance Commitments'!$G$3:$I$3, 0 ) ), "-" )</f>
        <v>2</v>
      </c>
      <c r="J122" s="77" t="str">
        <f t="shared" si="40"/>
        <v>Met</v>
      </c>
      <c r="K122" s="77" t="str">
        <f t="shared" ca="1" si="41"/>
        <v>Failed</v>
      </c>
      <c r="L122" s="238">
        <f t="shared" ca="1" si="38"/>
        <v>0.5</v>
      </c>
      <c r="M122" s="47"/>
      <c r="N122" s="243">
        <f xml:space="preserve"> _xlfn.IFNA( VLOOKUP( $C122, 'INPUTS│Performance Commitments'!$C$242:$I$257, MATCH( N$4, 'INPUTS│Performance Commitments'!$G$3:$I$3, 0 ) + 4, 0 ), "-" )</f>
        <v>427</v>
      </c>
      <c r="O122" s="243">
        <f ca="1" xml:space="preserve"> IF( $D122 &gt; 1, OFFSET( 'INPUTS│Performance Commitments'!$F$242, MATCH( $C122, 'INPUTS│Performance Commitments'!$C$242:$C$257, 0 ), MATCH( $N$4, 'INPUTS│Performance Commitments'!$G$3:$I$3, 0 ) ), "-" )</f>
        <v>7</v>
      </c>
      <c r="P122" s="243">
        <f xml:space="preserve"> _xlfn.IFNA( VLOOKUP( $C122, 'INPUTS│Performance Commitments'!$C$223:$I$238, MATCH( P$4, 'INPUTS│Performance Commitments'!$G$3:$I$3, 0 ) + 4, 0 ), "-" )</f>
        <v>158</v>
      </c>
      <c r="Q122" s="243">
        <f ca="1" xml:space="preserve"> IF( $D122 &gt; 1, OFFSET( 'INPUTS│Performance Commitments'!$F$223, MATCH( $C122, 'INPUTS│Performance Commitments'!$C$223:$C$238, 0 ), MATCH( $P$4, 'INPUTS│Performance Commitments'!$G$3:$I$3, 0 ) ), "-" )</f>
        <v>0</v>
      </c>
      <c r="R122" s="77" t="str">
        <f t="shared" si="42"/>
        <v>Failed</v>
      </c>
      <c r="S122" s="77" t="str">
        <f t="shared" ca="1" si="43"/>
        <v>Failed</v>
      </c>
      <c r="T122" s="238">
        <f t="shared" ca="1" si="39"/>
        <v>0</v>
      </c>
      <c r="U122" s="47"/>
      <c r="V122" s="240">
        <f xml:space="preserve"> _xlfn.IFNA( VLOOKUP( $C122, 'INPUTS│Performance Commitments'!$C$242:$L$257, MATCH( V$4, 'INPUTS│Performance Commitments'!$K$3:$L$3, 0 ) + 8, 0 ), "-" )</f>
        <v>427</v>
      </c>
      <c r="W122" s="240">
        <f ca="1" xml:space="preserve"> IF( $D122 &gt; 1, OFFSET( 'INPUTS│Performance Commitments'!$J$242, MATCH( $C122, 'INPUTS│Performance Commitments'!$C$242:$C$257, 0 ), MATCH( $V$4, 'INPUTS│Performance Commitments'!$K$3:$L$3, 0 ) ), "-" )</f>
        <v>7</v>
      </c>
      <c r="X122" s="240">
        <f xml:space="preserve"> _xlfn.IFNA( VLOOKUP( $C122, 'INPUTS│Performance Commitments'!$C$223:$L$238, MATCH( X$4, 'INPUTS│Performance Commitments'!$K$3:$L$3, 0 ) + 8, 0 ), "-" )</f>
        <v>158</v>
      </c>
      <c r="Y122" s="240">
        <f ca="1" xml:space="preserve"> IF( $D122 &gt; 1, OFFSET( 'INPUTS│Performance Commitments'!$J$223, MATCH( $C122, 'INPUTS│Performance Commitments'!$C$223:$C$238, 0 ), MATCH( $X$4, 'INPUTS│Performance Commitments'!$K$3:$L$3, 0 ) ), "-" )</f>
        <v>0</v>
      </c>
    </row>
    <row r="123" spans="2:26" outlineLevel="1" x14ac:dyDescent="0.25">
      <c r="C123" s="8" t="s">
        <v>96</v>
      </c>
      <c r="D123" s="171">
        <f xml:space="preserve"> COUNTIF( 'INPUTS│Performance Commitments'!$C$223:$C$238, C123 )</f>
        <v>1</v>
      </c>
      <c r="E123" s="47"/>
      <c r="F123" s="243">
        <f xml:space="preserve"> _xlfn.IFNA( VLOOKUP( $C123, 'INPUTS│Performance Commitments'!$C$242:$I$257, MATCH( F$4, 'INPUTS│Performance Commitments'!$G$3:$I$3, 0 ) + 4, 0 ), "-" )</f>
        <v>295</v>
      </c>
      <c r="G123" s="243" t="str">
        <f ca="1" xml:space="preserve"> IF( $D123 &gt; 1, OFFSET( 'INPUTS│Performance Commitments'!$F$242, MATCH( $C123, 'INPUTS│Performance Commitments'!$C$242:$C$257, 0 ), MATCH( $F$4, 'INPUTS│Performance Commitments'!$G$3:$I$3, 0 ) ), "-" )</f>
        <v>-</v>
      </c>
      <c r="H123" s="243">
        <f xml:space="preserve"> _xlfn.IFNA( VLOOKUP( $C123, 'INPUTS│Performance Commitments'!$C$223:$I$238, MATCH( H$4, 'INPUTS│Performance Commitments'!$G$3:$I$3, 0 ) + 4, 0 ), "-" )</f>
        <v>340</v>
      </c>
      <c r="I123" s="243" t="str">
        <f ca="1" xml:space="preserve"> IF( $D123 &gt; 1, OFFSET( 'INPUTS│Performance Commitments'!$F$223, MATCH( $C123, 'INPUTS│Performance Commitments'!$C$223:$C$238, 0 ), MATCH( $H$4, 'INPUTS│Performance Commitments'!$G$3:$I$3, 0 ) ), "-" )</f>
        <v>-</v>
      </c>
      <c r="J123" s="77" t="str">
        <f t="shared" si="40"/>
        <v>Met</v>
      </c>
      <c r="K123" s="77" t="str">
        <f t="shared" ca="1" si="41"/>
        <v>-</v>
      </c>
      <c r="L123" s="238">
        <f t="shared" ca="1" si="38"/>
        <v>1</v>
      </c>
      <c r="M123" s="47"/>
      <c r="N123" s="243">
        <f xml:space="preserve"> _xlfn.IFNA( VLOOKUP( $C123, 'INPUTS│Performance Commitments'!$C$242:$I$257, MATCH( N$4, 'INPUTS│Performance Commitments'!$G$3:$I$3, 0 ) + 4, 0 ), "-" )</f>
        <v>321</v>
      </c>
      <c r="O123" s="243" t="str">
        <f ca="1" xml:space="preserve"> IF( $D123 &gt; 1, OFFSET( 'INPUTS│Performance Commitments'!$F$242, MATCH( $C123, 'INPUTS│Performance Commitments'!$C$242:$C$257, 0 ), MATCH( $N$4, 'INPUTS│Performance Commitments'!$G$3:$I$3, 0 ) ), "-" )</f>
        <v>-</v>
      </c>
      <c r="P123" s="243">
        <f xml:space="preserve"> _xlfn.IFNA( VLOOKUP( $C123, 'INPUTS│Performance Commitments'!$C$223:$I$238, MATCH( P$4, 'INPUTS│Performance Commitments'!$G$3:$I$3, 0 ) + 4, 0 ), "-" )</f>
        <v>340</v>
      </c>
      <c r="Q123" s="243" t="str">
        <f ca="1" xml:space="preserve"> IF( $D123 &gt; 1, OFFSET( 'INPUTS│Performance Commitments'!$F$223, MATCH( $C123, 'INPUTS│Performance Commitments'!$C$223:$C$238, 0 ), MATCH( $P$4, 'INPUTS│Performance Commitments'!$G$3:$I$3, 0 ) ), "-" )</f>
        <v>-</v>
      </c>
      <c r="R123" s="77" t="str">
        <f t="shared" si="42"/>
        <v>Met</v>
      </c>
      <c r="S123" s="77" t="str">
        <f t="shared" ca="1" si="43"/>
        <v>-</v>
      </c>
      <c r="T123" s="238">
        <f t="shared" ca="1" si="39"/>
        <v>1</v>
      </c>
      <c r="U123" s="47"/>
      <c r="V123" s="240">
        <f xml:space="preserve"> _xlfn.IFNA( VLOOKUP( $C123, 'INPUTS│Performance Commitments'!$C$242:$L$257, MATCH( V$4, 'INPUTS│Performance Commitments'!$K$3:$L$3, 0 ) + 8, 0 ), "-" )</f>
        <v>321</v>
      </c>
      <c r="W123" s="240" t="str">
        <f ca="1" xml:space="preserve"> IF( $D123 &gt; 1, OFFSET( 'INPUTS│Performance Commitments'!$J$242, MATCH( $C123, 'INPUTS│Performance Commitments'!$C$242:$C$257, 0 ), MATCH( $V$4, 'INPUTS│Performance Commitments'!$K$3:$L$3, 0 ) ), "-" )</f>
        <v>-</v>
      </c>
      <c r="X123" s="240">
        <f xml:space="preserve"> _xlfn.IFNA( VLOOKUP( $C123, 'INPUTS│Performance Commitments'!$C$223:$L$238, MATCH( X$4, 'INPUTS│Performance Commitments'!$K$3:$L$3, 0 ) + 8, 0 ), "-" )</f>
        <v>340</v>
      </c>
      <c r="Y123" s="240" t="str">
        <f ca="1" xml:space="preserve"> IF( $D123 &gt; 1, OFFSET( 'INPUTS│Performance Commitments'!$J$223, MATCH( $C123, 'INPUTS│Performance Commitments'!$C$223:$C$238, 0 ), MATCH( $X$4, 'INPUTS│Performance Commitments'!$K$3:$L$3, 0 ) ), "-" )</f>
        <v>-</v>
      </c>
    </row>
    <row r="124" spans="2:26" outlineLevel="1" x14ac:dyDescent="0.25">
      <c r="C124" s="8" t="s">
        <v>98</v>
      </c>
      <c r="D124" s="171">
        <f xml:space="preserve"> COUNTIF( 'INPUTS│Performance Commitments'!$C$223:$C$238, C124 )</f>
        <v>2</v>
      </c>
      <c r="E124" s="47"/>
      <c r="F124" s="243">
        <f xml:space="preserve"> _xlfn.IFNA( VLOOKUP( $C124, 'INPUTS│Performance Commitments'!$C$242:$I$257, MATCH( F$4, 'INPUTS│Performance Commitments'!$G$3:$I$3, 0 ) + 4, 0 ), "-" )</f>
        <v>143</v>
      </c>
      <c r="G124" s="243">
        <f ca="1" xml:space="preserve"> IF( $D124 &gt; 1, OFFSET( 'INPUTS│Performance Commitments'!$F$242, MATCH( $C124, 'INPUTS│Performance Commitments'!$C$242:$C$257, 0 ), MATCH( $F$4, 'INPUTS│Performance Commitments'!$G$3:$I$3, 0 ) ), "-" )</f>
        <v>1</v>
      </c>
      <c r="H124" s="243">
        <f xml:space="preserve"> _xlfn.IFNA( VLOOKUP( $C124, 'INPUTS│Performance Commitments'!$C$223:$I$238, MATCH( H$4, 'INPUTS│Performance Commitments'!$G$3:$I$3, 0 ) + 4, 0 ), "-" )</f>
        <v>195</v>
      </c>
      <c r="I124" s="243">
        <f ca="1" xml:space="preserve"> IF( $D124 &gt; 1, OFFSET( 'INPUTS│Performance Commitments'!$F$223, MATCH( $C124, 'INPUTS│Performance Commitments'!$C$223:$C$238, 0 ), MATCH( $H$4, 'INPUTS│Performance Commitments'!$G$3:$I$3, 0 ) ), "-" )</f>
        <v>3</v>
      </c>
      <c r="J124" s="77" t="str">
        <f t="shared" si="40"/>
        <v>Met</v>
      </c>
      <c r="K124" s="77" t="str">
        <f t="shared" ca="1" si="41"/>
        <v>Met</v>
      </c>
      <c r="L124" s="238">
        <f t="shared" ca="1" si="38"/>
        <v>1</v>
      </c>
      <c r="M124" s="47"/>
      <c r="N124" s="243">
        <f xml:space="preserve"> _xlfn.IFNA( VLOOKUP( $C124, 'INPUTS│Performance Commitments'!$C$242:$I$257, MATCH( N$4, 'INPUTS│Performance Commitments'!$G$3:$I$3, 0 ) + 4, 0 ), "-" )</f>
        <v>162</v>
      </c>
      <c r="O124" s="243">
        <f ca="1" xml:space="preserve"> IF( $D124 &gt; 1, OFFSET( 'INPUTS│Performance Commitments'!$F$242, MATCH( $C124, 'INPUTS│Performance Commitments'!$C$242:$C$257, 0 ), MATCH( $N$4, 'INPUTS│Performance Commitments'!$G$3:$I$3, 0 ) ), "-" )</f>
        <v>0</v>
      </c>
      <c r="P124" s="243">
        <f xml:space="preserve"> _xlfn.IFNA( VLOOKUP( $C124, 'INPUTS│Performance Commitments'!$C$223:$I$238, MATCH( P$4, 'INPUTS│Performance Commitments'!$G$3:$I$3, 0 ) + 4, 0 ), "-" )</f>
        <v>191</v>
      </c>
      <c r="Q124" s="243">
        <f ca="1" xml:space="preserve"> IF( $D124 &gt; 1, OFFSET( 'INPUTS│Performance Commitments'!$F$223, MATCH( $C124, 'INPUTS│Performance Commitments'!$C$223:$C$238, 0 ), MATCH( $P$4, 'INPUTS│Performance Commitments'!$G$3:$I$3, 0 ) ), "-" )</f>
        <v>0</v>
      </c>
      <c r="R124" s="77" t="str">
        <f t="shared" si="42"/>
        <v>Met</v>
      </c>
      <c r="S124" s="77" t="str">
        <f t="shared" ca="1" si="43"/>
        <v>Met</v>
      </c>
      <c r="T124" s="238">
        <f t="shared" ca="1" si="39"/>
        <v>1</v>
      </c>
      <c r="U124" s="47"/>
      <c r="V124" s="240">
        <f xml:space="preserve"> _xlfn.IFNA( VLOOKUP( $C124, 'INPUTS│Performance Commitments'!$C$242:$L$257, MATCH( V$4, 'INPUTS│Performance Commitments'!$K$3:$L$3, 0 ) + 8, 0 ), "-" )</f>
        <v>162</v>
      </c>
      <c r="W124" s="240">
        <f ca="1" xml:space="preserve"> IF( $D124 &gt; 1, OFFSET( 'INPUTS│Performance Commitments'!$J$242, MATCH( $C124, 'INPUTS│Performance Commitments'!$C$242:$C$257, 0 ), MATCH( $V$4, 'INPUTS│Performance Commitments'!$K$3:$L$3, 0 ) ), "-" )</f>
        <v>0</v>
      </c>
      <c r="X124" s="240">
        <f xml:space="preserve"> _xlfn.IFNA( VLOOKUP( $C124, 'INPUTS│Performance Commitments'!$C$223:$L$238, MATCH( X$4, 'INPUTS│Performance Commitments'!$K$3:$L$3, 0 ) + 8, 0 ), "-" )</f>
        <v>191</v>
      </c>
      <c r="Y124" s="240">
        <f ca="1" xml:space="preserve"> IF( $D124 &gt; 1, OFFSET( 'INPUTS│Performance Commitments'!$J$223, MATCH( $C124, 'INPUTS│Performance Commitments'!$C$223:$C$238, 0 ), MATCH( $X$4, 'INPUTS│Performance Commitments'!$K$3:$L$3, 0 ) ), "-" )</f>
        <v>0</v>
      </c>
    </row>
    <row r="125" spans="2:26" outlineLevel="1" x14ac:dyDescent="0.25">
      <c r="C125" s="8" t="s">
        <v>100</v>
      </c>
      <c r="D125" s="171">
        <f xml:space="preserve"> COUNTIF( 'INPUTS│Performance Commitments'!$C$223:$C$238, C125 )</f>
        <v>0</v>
      </c>
      <c r="E125" s="47"/>
      <c r="F125" s="243" t="str">
        <f xml:space="preserve"> _xlfn.IFNA( VLOOKUP( $C125, 'INPUTS│Performance Commitments'!$C$242:$I$257, MATCH( F$4, 'INPUTS│Performance Commitments'!$G$3:$I$3, 0 ) + 4, 0 ), "-" )</f>
        <v>-</v>
      </c>
      <c r="G125" s="243" t="str">
        <f ca="1" xml:space="preserve"> IF( $D125 &gt; 1, OFFSET( 'INPUTS│Performance Commitments'!$F$242, MATCH( $C125, 'INPUTS│Performance Commitments'!$C$242:$C$257, 0 ), MATCH( $F$4, 'INPUTS│Performance Commitments'!$G$3:$I$3, 0 ) ), "-" )</f>
        <v>-</v>
      </c>
      <c r="H125" s="243" t="str">
        <f xml:space="preserve"> _xlfn.IFNA( VLOOKUP( $C125, 'INPUTS│Performance Commitments'!$C$223:$I$238, MATCH( H$4, 'INPUTS│Performance Commitments'!$G$3:$I$3, 0 ) + 4, 0 ), "-" )</f>
        <v>-</v>
      </c>
      <c r="I125" s="243" t="str">
        <f ca="1" xml:space="preserve"> IF( $D125 &gt; 1, OFFSET( 'INPUTS│Performance Commitments'!$F$223, MATCH( $C125, 'INPUTS│Performance Commitments'!$C$223:$C$238, 0 ), MATCH( $H$4, 'INPUTS│Performance Commitments'!$G$3:$I$3, 0 ) ), "-" )</f>
        <v>-</v>
      </c>
      <c r="J125" s="77" t="str">
        <f t="shared" si="40"/>
        <v>-</v>
      </c>
      <c r="K125" s="77" t="str">
        <f t="shared" ca="1" si="41"/>
        <v>-</v>
      </c>
      <c r="L125" s="238" t="str">
        <f xml:space="preserve"> IF( H125 = "-", "-", COUNTIF( J125:K125, "Met" ) / $D125 )</f>
        <v>-</v>
      </c>
      <c r="M125" s="47"/>
      <c r="N125" s="243" t="str">
        <f xml:space="preserve"> _xlfn.IFNA( VLOOKUP( $C125, 'INPUTS│Performance Commitments'!$C$242:$I$257, MATCH( N$4, 'INPUTS│Performance Commitments'!$G$3:$I$3, 0 ) + 4, 0 ), "-" )</f>
        <v>-</v>
      </c>
      <c r="O125" s="243" t="str">
        <f ca="1" xml:space="preserve"> IF( $D125 &gt; 1, OFFSET( 'INPUTS│Performance Commitments'!$F$242, MATCH( $C125, 'INPUTS│Performance Commitments'!$C$242:$C$257, 0 ), MATCH( $N$4, 'INPUTS│Performance Commitments'!$G$3:$I$3, 0 ) ), "-" )</f>
        <v>-</v>
      </c>
      <c r="P125" s="243" t="str">
        <f xml:space="preserve"> _xlfn.IFNA( VLOOKUP( $C125, 'INPUTS│Performance Commitments'!$C$223:$I$238, MATCH( P$4, 'INPUTS│Performance Commitments'!$G$3:$I$3, 0 ) + 4, 0 ), "-" )</f>
        <v>-</v>
      </c>
      <c r="Q125" s="243" t="str">
        <f ca="1" xml:space="preserve"> IF( $D125 &gt; 1, OFFSET( 'INPUTS│Performance Commitments'!$F$223, MATCH( $C125, 'INPUTS│Performance Commitments'!$C$223:$C$238, 0 ), MATCH( $P$4, 'INPUTS│Performance Commitments'!$G$3:$I$3, 0 ) ), "-" )</f>
        <v>-</v>
      </c>
      <c r="R125" s="77" t="str">
        <f t="shared" si="42"/>
        <v>-</v>
      </c>
      <c r="S125" s="77" t="str">
        <f t="shared" ca="1" si="43"/>
        <v>-</v>
      </c>
      <c r="T125" s="238" t="str">
        <f xml:space="preserve"> IF( P125 = "-", "-", COUNTIF( R125:S125, "Met" ) / $D125 )</f>
        <v>-</v>
      </c>
      <c r="U125" s="47"/>
      <c r="V125" s="240" t="str">
        <f xml:space="preserve"> _xlfn.IFNA( VLOOKUP( $C125, 'INPUTS│Performance Commitments'!$C$242:$L$257, MATCH( V$4, 'INPUTS│Performance Commitments'!$K$3:$L$3, 0 ) + 8, 0 ), "-" )</f>
        <v>-</v>
      </c>
      <c r="W125" s="240" t="str">
        <f ca="1" xml:space="preserve"> IF( $D125 &gt; 1, OFFSET( 'INPUTS│Performance Commitments'!$J$242, MATCH( $C125, 'INPUTS│Performance Commitments'!$C$242:$C$257, 0 ), MATCH( $V$4, 'INPUTS│Performance Commitments'!$K$3:$L$3, 0 ) ), "-" )</f>
        <v>-</v>
      </c>
      <c r="X125" s="240" t="str">
        <f xml:space="preserve"> _xlfn.IFNA( VLOOKUP( $C125, 'INPUTS│Performance Commitments'!$C$223:$L$238, MATCH( X$4, 'INPUTS│Performance Commitments'!$K$3:$L$3, 0 ) + 8, 0 ), "-" )</f>
        <v>-</v>
      </c>
      <c r="Y125" s="240" t="str">
        <f ca="1" xml:space="preserve"> IF( $D125 &gt; 1, OFFSET( 'INPUTS│Performance Commitments'!$J$223, MATCH( $C125, 'INPUTS│Performance Commitments'!$C$223:$C$238, 0 ), MATCH( $X$4, 'INPUTS│Performance Commitments'!$K$3:$L$3, 0 ) ), "-" )</f>
        <v>-</v>
      </c>
    </row>
    <row r="126" spans="2:26" outlineLevel="1" x14ac:dyDescent="0.25">
      <c r="C126" s="8" t="s">
        <v>102</v>
      </c>
      <c r="D126" s="171">
        <f xml:space="preserve"> COUNTIF( 'INPUTS│Performance Commitments'!$C$223:$C$238, C126 )</f>
        <v>2</v>
      </c>
      <c r="E126" s="47"/>
      <c r="F126" s="243">
        <f xml:space="preserve"> _xlfn.IFNA( VLOOKUP( $C126, 'INPUTS│Performance Commitments'!$C$242:$I$257, MATCH( F$4, 'INPUTS│Performance Commitments'!$G$3:$I$3, 0 ) + 4, 0 ), "-" )</f>
        <v>188</v>
      </c>
      <c r="G126" s="243">
        <f ca="1" xml:space="preserve"> IF( $D126 &gt; 1, OFFSET( 'INPUTS│Performance Commitments'!$F$242, MATCH( $C126, 'INPUTS│Performance Commitments'!$C$242:$C$257, 0 ), MATCH( $F$4, 'INPUTS│Performance Commitments'!$G$3:$I$3, 0 ) ), "-" )</f>
        <v>11</v>
      </c>
      <c r="H126" s="243">
        <f xml:space="preserve"> _xlfn.IFNA( VLOOKUP( $C126, 'INPUTS│Performance Commitments'!$C$223:$I$238, MATCH( H$4, 'INPUTS│Performance Commitments'!$G$3:$I$3, 0 ) + 4, 0 ), "-" )</f>
        <v>211</v>
      </c>
      <c r="I126" s="243">
        <f ca="1" xml:space="preserve"> IF( $D126 &gt; 1, OFFSET( 'INPUTS│Performance Commitments'!$F$223, MATCH( $C126, 'INPUTS│Performance Commitments'!$C$223:$C$238, 0 ), MATCH( $H$4, 'INPUTS│Performance Commitments'!$G$3:$I$3, 0 ) ), "-" )</f>
        <v>2</v>
      </c>
      <c r="J126" s="77" t="str">
        <f t="shared" si="40"/>
        <v>Met</v>
      </c>
      <c r="K126" s="77" t="str">
        <f t="shared" ca="1" si="41"/>
        <v>Failed</v>
      </c>
      <c r="L126" s="238">
        <f ca="1" xml:space="preserve"> IF( H126 = "-", "-", COUNTIF( J126:K126, "Met" ) / $D126 )</f>
        <v>0.5</v>
      </c>
      <c r="M126" s="47"/>
      <c r="N126" s="243">
        <f xml:space="preserve"> _xlfn.IFNA( VLOOKUP( $C126, 'INPUTS│Performance Commitments'!$C$242:$I$257, MATCH( N$4, 'INPUTS│Performance Commitments'!$G$3:$I$3, 0 ) + 4, 0 ), "-" )</f>
        <v>159</v>
      </c>
      <c r="O126" s="243">
        <f ca="1" xml:space="preserve"> IF( $D126 &gt; 1, OFFSET( 'INPUTS│Performance Commitments'!$F$242, MATCH( $C126, 'INPUTS│Performance Commitments'!$C$242:$C$257, 0 ), MATCH( $N$4, 'INPUTS│Performance Commitments'!$G$3:$I$3, 0 ) ), "-" )</f>
        <v>7</v>
      </c>
      <c r="P126" s="243">
        <f xml:space="preserve"> _xlfn.IFNA( VLOOKUP( $C126, 'INPUTS│Performance Commitments'!$C$223:$I$238, MATCH( P$4, 'INPUTS│Performance Commitments'!$G$3:$I$3, 0 ) + 4, 0 ), "-" )</f>
        <v>211</v>
      </c>
      <c r="Q126" s="243">
        <f ca="1" xml:space="preserve"> IF( $D126 &gt; 1, OFFSET( 'INPUTS│Performance Commitments'!$F$223, MATCH( $C126, 'INPUTS│Performance Commitments'!$C$223:$C$238, 0 ), MATCH( $P$4, 'INPUTS│Performance Commitments'!$G$3:$I$3, 0 ) ), "-" )</f>
        <v>0</v>
      </c>
      <c r="R126" s="77" t="str">
        <f t="shared" si="42"/>
        <v>Met</v>
      </c>
      <c r="S126" s="77" t="str">
        <f t="shared" ca="1" si="43"/>
        <v>Failed</v>
      </c>
      <c r="T126" s="238">
        <f ca="1" xml:space="preserve"> IF( P126 = "-", "-", COUNTIF( R126:S126, "Met" ) / $D126 )</f>
        <v>0.5</v>
      </c>
      <c r="U126" s="47"/>
      <c r="V126" s="240">
        <f xml:space="preserve"> _xlfn.IFNA( VLOOKUP( $C126, 'INPUTS│Performance Commitments'!$C$242:$L$257, MATCH( V$4, 'INPUTS│Performance Commitments'!$K$3:$L$3, 0 ) + 8, 0 ), "-" )</f>
        <v>159</v>
      </c>
      <c r="W126" s="240">
        <f ca="1" xml:space="preserve"> IF( $D126 &gt; 1, OFFSET( 'INPUTS│Performance Commitments'!$J$242, MATCH( $C126, 'INPUTS│Performance Commitments'!$C$242:$C$257, 0 ), MATCH( $V$4, 'INPUTS│Performance Commitments'!$K$3:$L$3, 0 ) ), "-" )</f>
        <v>7</v>
      </c>
      <c r="X126" s="240">
        <f xml:space="preserve"> _xlfn.IFNA( VLOOKUP( $C126, 'INPUTS│Performance Commitments'!$C$223:$L$238, MATCH( X$4, 'INPUTS│Performance Commitments'!$K$3:$L$3, 0 ) + 8, 0 ), "-" )</f>
        <v>211</v>
      </c>
      <c r="Y126" s="240">
        <f ca="1" xml:space="preserve"> IF( $D126 &gt; 1, OFFSET( 'INPUTS│Performance Commitments'!$J$223, MATCH( $C126, 'INPUTS│Performance Commitments'!$C$223:$C$238, 0 ), MATCH( $X$4, 'INPUTS│Performance Commitments'!$K$3:$L$3, 0 ) ), "-" )</f>
        <v>0</v>
      </c>
    </row>
    <row r="128" spans="2:26" ht="13" x14ac:dyDescent="0.3">
      <c r="B128" s="17" t="s">
        <v>25</v>
      </c>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sheetData>
  <mergeCells count="21">
    <mergeCell ref="D2:T2"/>
    <mergeCell ref="R5:S5"/>
    <mergeCell ref="N5:O5"/>
    <mergeCell ref="N4:O4"/>
    <mergeCell ref="P4:Q4"/>
    <mergeCell ref="P5:Q5"/>
    <mergeCell ref="D4:D6"/>
    <mergeCell ref="L5:L6"/>
    <mergeCell ref="T5:T6"/>
    <mergeCell ref="F4:G4"/>
    <mergeCell ref="H4:I4"/>
    <mergeCell ref="F5:G5"/>
    <mergeCell ref="H5:I5"/>
    <mergeCell ref="J4:K4"/>
    <mergeCell ref="R4:S4"/>
    <mergeCell ref="J5:K5"/>
    <mergeCell ref="V2:Y2"/>
    <mergeCell ref="V4:W4"/>
    <mergeCell ref="X4:Y4"/>
    <mergeCell ref="V5:W5"/>
    <mergeCell ref="X5:Y5"/>
  </mergeCells>
  <pageMargins left="0.7" right="0.7" top="0.75" bottom="0.75" header="0.3" footer="0.3"/>
  <pageSetup paperSize="9" orientation="portrait" r:id="rId1"/>
  <ignoredErrors>
    <ignoredError sqref="F15:K15 D15 M15:S15 U15:Y1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heetPr>
  <dimension ref="B2:AT146"/>
  <sheetViews>
    <sheetView showGridLines="0" workbookViewId="0"/>
  </sheetViews>
  <sheetFormatPr defaultColWidth="9" defaultRowHeight="12.5" outlineLevelRow="1" x14ac:dyDescent="0.25"/>
  <cols>
    <col min="1" max="2" width="2.58203125" style="8" customWidth="1"/>
    <col min="3" max="3" width="11.25" style="8" bestFit="1" customWidth="1"/>
    <col min="4" max="4" width="2.58203125" style="8" customWidth="1"/>
    <col min="5" max="10" width="8.58203125" style="8" customWidth="1"/>
    <col min="11" max="11" width="2.58203125" style="8" customWidth="1"/>
    <col min="12" max="17" width="8.58203125" style="8" customWidth="1"/>
    <col min="18" max="18" width="2.58203125" style="8" customWidth="1"/>
    <col min="19" max="24" width="8.58203125" style="8" customWidth="1"/>
    <col min="25" max="25" width="2.58203125" style="8" customWidth="1"/>
    <col min="26" max="31" width="8.58203125" style="8" customWidth="1"/>
    <col min="32" max="32" width="2.58203125" style="8" customWidth="1"/>
    <col min="33" max="38" width="8.58203125" style="8" customWidth="1"/>
    <col min="39" max="39" width="2.58203125" style="8" customWidth="1"/>
    <col min="40" max="45" width="9" style="8"/>
    <col min="46" max="46" width="2.58203125" style="8" customWidth="1"/>
    <col min="47" max="16384" width="9" style="8"/>
  </cols>
  <sheetData>
    <row r="2" spans="2:46" ht="13.5" x14ac:dyDescent="0.35">
      <c r="B2" s="9" t="s">
        <v>155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2:46" outlineLevel="1" x14ac:dyDescent="0.25"/>
    <row r="4" spans="2:46" s="79" customFormat="1" ht="30" customHeight="1" outlineLevel="1" x14ac:dyDescent="0.3">
      <c r="B4" s="283"/>
      <c r="C4" s="283"/>
      <c r="D4" s="283"/>
      <c r="E4" s="414" t="s">
        <v>592</v>
      </c>
      <c r="F4" s="414"/>
      <c r="G4" s="414"/>
      <c r="H4" s="414"/>
      <c r="I4" s="414"/>
      <c r="J4" s="319"/>
      <c r="K4" s="283"/>
      <c r="L4" s="414" t="s">
        <v>593</v>
      </c>
      <c r="M4" s="414"/>
      <c r="N4" s="414"/>
      <c r="O4" s="414"/>
      <c r="P4" s="414"/>
      <c r="Q4" s="319"/>
      <c r="R4" s="283"/>
      <c r="S4" s="283"/>
      <c r="T4" s="283"/>
      <c r="U4" s="319"/>
      <c r="V4" s="283"/>
      <c r="W4" s="283"/>
      <c r="X4" s="319"/>
      <c r="Y4" s="283"/>
      <c r="Z4" s="283"/>
      <c r="AA4" s="283"/>
      <c r="AB4" s="319"/>
      <c r="AC4" s="283"/>
      <c r="AD4" s="283"/>
      <c r="AE4" s="319"/>
      <c r="AF4" s="283"/>
      <c r="AG4" s="283"/>
      <c r="AH4" s="283"/>
      <c r="AI4" s="319"/>
      <c r="AJ4" s="283"/>
      <c r="AK4" s="283"/>
      <c r="AL4" s="319"/>
      <c r="AM4" s="283"/>
      <c r="AN4" s="283"/>
      <c r="AO4" s="283"/>
      <c r="AP4" s="319"/>
      <c r="AQ4" s="283"/>
      <c r="AR4" s="283"/>
      <c r="AS4" s="319"/>
      <c r="AT4" s="283"/>
    </row>
    <row r="5" spans="2:46" s="336" customFormat="1" ht="25.5" customHeight="1" outlineLevel="1" x14ac:dyDescent="0.3">
      <c r="E5" s="410" t="s">
        <v>555</v>
      </c>
      <c r="F5" s="411"/>
      <c r="G5" s="410" t="s">
        <v>65</v>
      </c>
      <c r="H5" s="415"/>
      <c r="I5" s="411"/>
      <c r="L5" s="410" t="s">
        <v>572</v>
      </c>
      <c r="M5" s="411"/>
      <c r="N5" s="410" t="s">
        <v>65</v>
      </c>
      <c r="O5" s="415"/>
      <c r="P5" s="411"/>
    </row>
    <row r="6" spans="2:46" outlineLevel="1" x14ac:dyDescent="0.25">
      <c r="E6" s="263" t="str">
        <f>Last_year</f>
        <v>2018-19</v>
      </c>
      <c r="F6" s="263" t="str">
        <f>Year</f>
        <v>2019-20</v>
      </c>
      <c r="G6" s="263" t="str">
        <f>Last_year</f>
        <v>2018-19</v>
      </c>
      <c r="H6" s="263" t="str">
        <f>Year</f>
        <v>2019-20</v>
      </c>
      <c r="I6" s="263" t="s">
        <v>778</v>
      </c>
      <c r="L6" s="263" t="str">
        <f>Last_year</f>
        <v>2018-19</v>
      </c>
      <c r="M6" s="263" t="str">
        <f>Year</f>
        <v>2019-20</v>
      </c>
      <c r="N6" s="263" t="str">
        <f>Last_year</f>
        <v>2018-19</v>
      </c>
      <c r="O6" s="263" t="str">
        <f>Year</f>
        <v>2019-20</v>
      </c>
      <c r="P6" s="263" t="s">
        <v>778</v>
      </c>
    </row>
    <row r="7" spans="2:46" outlineLevel="1" x14ac:dyDescent="0.25">
      <c r="O7" s="241"/>
    </row>
    <row r="8" spans="2:46" outlineLevel="1" x14ac:dyDescent="0.25">
      <c r="C8" s="8" t="s">
        <v>87</v>
      </c>
      <c r="E8" s="137">
        <f xml:space="preserve"> VLOOKUP( $C8, 'CALCS│Wholesale Totex'!$C$165:$I$181, MATCH( E$6, 'CALCS│Wholesale Totex'!$C$2:$I$2, 0 ), 0 )</f>
        <v>-9.0438646902882142E-2</v>
      </c>
      <c r="F8" s="137">
        <f xml:space="preserve"> VLOOKUP( $C8, 'CALCS│Wholesale Totex'!$C$165:$I$181, MATCH( F$6, 'CALCS│Wholesale Totex'!$C$2:$I$2, 0 ), 0 )</f>
        <v>-6.3580044337989985E-2</v>
      </c>
      <c r="G8" s="228">
        <f t="shared" ref="G8:H11" si="0">IF( E8 &lt;= E$28, 3, IF( E8 &gt;= E$29, 1, 2 ) )</f>
        <v>3</v>
      </c>
      <c r="H8" s="228">
        <f t="shared" si="0"/>
        <v>3</v>
      </c>
      <c r="I8" s="228">
        <f xml:space="preserve"> IF( OR( ISBLANK( E8 ), ISBLANK( F8 ) ), 0, IFERROR( H8 - G8, 0 ) )</f>
        <v>0</v>
      </c>
      <c r="L8" s="137">
        <f xml:space="preserve"> VLOOKUP( $C8, 'CALCS│Residential Retail'!$C$329:$I$345, MATCH( L$6, 'CALCS│Residential Retail'!$C$2:$I$2, 0 ), 0 )</f>
        <v>-7.6832239178960079E-2</v>
      </c>
      <c r="M8" s="137">
        <f xml:space="preserve"> VLOOKUP( $C8, 'CALCS│Residential Retail'!$C$329:$I$345, MATCH( M$6, 'CALCS│Residential Retail'!$C$2:$I$2, 0 ), 0 )</f>
        <v>-1.3182958920868267E-2</v>
      </c>
      <c r="N8" s="228">
        <f t="shared" ref="N8:O11" si="1">IF( L8 &lt;= L$28, 3, IF( L8 &gt;= L$29, 1, 2 ) )</f>
        <v>2</v>
      </c>
      <c r="O8" s="228">
        <f t="shared" si="1"/>
        <v>2</v>
      </c>
      <c r="P8" s="228">
        <f xml:space="preserve"> IF( OR( ISBLANK( L8 ), ISBLANK( M8 ) ), 0, IFERROR( O8 - N8, 0 ) )</f>
        <v>0</v>
      </c>
    </row>
    <row r="9" spans="2:46" outlineLevel="1" x14ac:dyDescent="0.25">
      <c r="C9" s="8" t="s">
        <v>100</v>
      </c>
      <c r="E9" s="137">
        <f xml:space="preserve"> VLOOKUP( $C9, 'CALCS│Wholesale Totex'!$C$165:$I$181, MATCH( E$6, 'CALCS│Wholesale Totex'!$C$2:$I$2, 0 ), 0 )</f>
        <v>-9.9820690770586362E-2</v>
      </c>
      <c r="F9" s="137">
        <f xml:space="preserve"> VLOOKUP( $C9, 'CALCS│Wholesale Totex'!$C$165:$I$181, MATCH( F$6, 'CALCS│Wholesale Totex'!$C$2:$I$2, 0 ), 0 )</f>
        <v>-8.2689683556801494E-2</v>
      </c>
      <c r="G9" s="228">
        <f t="shared" si="0"/>
        <v>3</v>
      </c>
      <c r="H9" s="228">
        <f t="shared" si="0"/>
        <v>3</v>
      </c>
      <c r="I9" s="228">
        <f xml:space="preserve"> IF( OR( ISBLANK( E9 ), ISBLANK( F9 ) ), 0, IFERROR( H9 - G9, 0 ) )</f>
        <v>0</v>
      </c>
      <c r="L9" s="137">
        <f xml:space="preserve"> VLOOKUP( $C9, 'CALCS│Residential Retail'!$C$329:$I$345, MATCH( L$6, 'CALCS│Residential Retail'!$C$2:$I$2, 0 ), 0 )</f>
        <v>-7.2009389607536542E-2</v>
      </c>
      <c r="M9" s="137">
        <f xml:space="preserve"> VLOOKUP( $C9, 'CALCS│Residential Retail'!$C$329:$I$345, MATCH( M$6, 'CALCS│Residential Retail'!$C$2:$I$2, 0 ), 0 )</f>
        <v>-3.997139667828966E-2</v>
      </c>
      <c r="N9" s="228">
        <f t="shared" si="1"/>
        <v>2</v>
      </c>
      <c r="O9" s="228">
        <f t="shared" si="1"/>
        <v>2</v>
      </c>
      <c r="P9" s="228">
        <f xml:space="preserve"> IF( OR( ISBLANK( L9 ), ISBLANK( M9 ) ), 0, IFERROR( O9 - N9, 0 ) )</f>
        <v>0</v>
      </c>
    </row>
    <row r="10" spans="2:46" outlineLevel="1" x14ac:dyDescent="0.25">
      <c r="C10" s="8" t="s">
        <v>106</v>
      </c>
      <c r="E10" s="137">
        <f xml:space="preserve"> VLOOKUP( $C10, 'CALCS│Wholesale Totex'!$C$165:$I$181, MATCH( E$6, 'CALCS│Wholesale Totex'!$C$2:$I$2, 0 ), 0 )</f>
        <v>-4.2356191509909283E-2</v>
      </c>
      <c r="F10" s="137">
        <f xml:space="preserve"> VLOOKUP( $C10, 'CALCS│Wholesale Totex'!$C$165:$I$181, MATCH( F$6, 'CALCS│Wholesale Totex'!$C$2:$I$2, 0 ), 0 )</f>
        <v>1.0891780258708531E-2</v>
      </c>
      <c r="G10" s="228">
        <f t="shared" si="0"/>
        <v>2</v>
      </c>
      <c r="H10" s="228">
        <f t="shared" si="0"/>
        <v>2</v>
      </c>
      <c r="I10" s="228">
        <f xml:space="preserve"> IF( OR( ISBLANK( E10 ), ISBLANK( F10 ) ), 0, IFERROR( H10 - G10, 0 ) )</f>
        <v>0</v>
      </c>
      <c r="L10" s="137">
        <f xml:space="preserve"> VLOOKUP( $C10, 'CALCS│Residential Retail'!$C$329:$I$345, MATCH( L$6, 'CALCS│Residential Retail'!$C$2:$I$2, 0 ), 0 )</f>
        <v>-9.5207776024237079E-2</v>
      </c>
      <c r="M10" s="137">
        <f xml:space="preserve"> VLOOKUP( $C10, 'CALCS│Residential Retail'!$C$329:$I$345, MATCH( M$6, 'CALCS│Residential Retail'!$C$2:$I$2, 0 ), 0 )</f>
        <v>-4.2773939783616752E-2</v>
      </c>
      <c r="N10" s="228">
        <f t="shared" si="1"/>
        <v>3</v>
      </c>
      <c r="O10" s="228">
        <f t="shared" si="1"/>
        <v>3</v>
      </c>
      <c r="P10" s="228">
        <f xml:space="preserve"> IF( OR( ISBLANK( L10 ), ISBLANK( M10 ) ), 0, IFERROR( O10 - N10, 0 ) )</f>
        <v>0</v>
      </c>
    </row>
    <row r="11" spans="2:46" outlineLevel="1" x14ac:dyDescent="0.25">
      <c r="C11" s="8" t="s">
        <v>114</v>
      </c>
      <c r="E11" s="137">
        <f xml:space="preserve"> VLOOKUP( $C11, 'CALCS│Wholesale Totex'!$C$165:$I$181, MATCH( E$6, 'CALCS│Wholesale Totex'!$C$2:$I$2, 0 ), 0 )</f>
        <v>4.2542211614441773E-3</v>
      </c>
      <c r="F11" s="137">
        <f xml:space="preserve"> VLOOKUP( $C11, 'CALCS│Wholesale Totex'!$C$165:$I$181, MATCH( F$6, 'CALCS│Wholesale Totex'!$C$2:$I$2, 0 ), 0 )</f>
        <v>8.0107913111338788E-3</v>
      </c>
      <c r="G11" s="228">
        <f t="shared" si="0"/>
        <v>1</v>
      </c>
      <c r="H11" s="228">
        <f t="shared" si="0"/>
        <v>2</v>
      </c>
      <c r="I11" s="228">
        <f xml:space="preserve"> IF( OR( ISBLANK( E11 ), ISBLANK( F11 ) ), 0, IFERROR( H11 - G11, 0 ) )</f>
        <v>1</v>
      </c>
      <c r="L11" s="137">
        <f xml:space="preserve"> VLOOKUP( $C11, 'CALCS│Residential Retail'!$C$329:$I$345, MATCH( L$6, 'CALCS│Residential Retail'!$C$2:$I$2, 0 ), 0 )</f>
        <v>-0.16411554278048079</v>
      </c>
      <c r="M11" s="137">
        <f xml:space="preserve"> VLOOKUP( $C11, 'CALCS│Residential Retail'!$C$329:$I$345, MATCH( M$6, 'CALCS│Residential Retail'!$C$2:$I$2, 0 ), 0 )</f>
        <v>-7.1479615410971822E-2</v>
      </c>
      <c r="N11" s="228">
        <f t="shared" si="1"/>
        <v>3</v>
      </c>
      <c r="O11" s="228">
        <f t="shared" si="1"/>
        <v>3</v>
      </c>
      <c r="P11" s="228">
        <f xml:space="preserve"> IF( OR( ISBLANK( L11 ), ISBLANK( M11 ) ), 0, IFERROR( O11 - N11, 0 ) )</f>
        <v>0</v>
      </c>
    </row>
    <row r="12" spans="2:46" outlineLevel="1" x14ac:dyDescent="0.25">
      <c r="I12" s="241"/>
      <c r="P12" s="241"/>
    </row>
    <row r="13" spans="2:46" outlineLevel="1" x14ac:dyDescent="0.25">
      <c r="C13" s="83" t="s">
        <v>80</v>
      </c>
      <c r="E13" s="137">
        <f xml:space="preserve"> VLOOKUP( $C13, 'CALCS│Wholesale Totex'!$C$165:$I$181, MATCH( E$6, 'CALCS│Wholesale Totex'!$C$2:$I$2, 0 ), 0 )</f>
        <v>-9.6219081319757385E-2</v>
      </c>
      <c r="F13" s="137">
        <f xml:space="preserve"> VLOOKUP( $C13, 'CALCS│Wholesale Totex'!$C$165:$I$181, MATCH( F$6, 'CALCS│Wholesale Totex'!$C$2:$I$2, 0 ), 0 )</f>
        <v>-8.1512002909417319E-2</v>
      </c>
      <c r="G13" s="228">
        <f t="shared" ref="G13:G21" si="2">IF( E13 &lt;= E$28, 3, IF( E13 &gt;= E$29, 1, 2 ) )</f>
        <v>3</v>
      </c>
      <c r="H13" s="228">
        <f t="shared" ref="H13:H21" si="3">IF( F13 &lt;= F$28, 3, IF( F13 &gt;= F$29, 1, 2 ) )</f>
        <v>3</v>
      </c>
      <c r="I13" s="228">
        <f t="shared" ref="I13:I21" si="4" xml:space="preserve"> IF( OR( ISBLANK( E13 ), ISBLANK( F13 ) ), 0, IFERROR( H13 - G13, 0 ) )</f>
        <v>0</v>
      </c>
      <c r="L13" s="137">
        <f xml:space="preserve"> VLOOKUP( $C13, 'CALCS│Residential Retail'!$C$329:$I$345, MATCH( L$6, 'CALCS│Residential Retail'!$C$2:$I$2, 0 ), 0 )</f>
        <v>-8.9765873370247862E-4</v>
      </c>
      <c r="M13" s="137">
        <f xml:space="preserve"> VLOOKUP( $C13, 'CALCS│Residential Retail'!$C$329:$I$345, MATCH( M$6, 'CALCS│Residential Retail'!$C$2:$I$2, 0 ), 0 )</f>
        <v>3.4314752310729314E-2</v>
      </c>
      <c r="N13" s="228">
        <f t="shared" ref="N13:N21" si="5">IF( L13 &lt;= L$28, 3, IF( L13 &gt;= L$29, 1, 2 ) )</f>
        <v>2</v>
      </c>
      <c r="O13" s="228">
        <f t="shared" ref="O13:O21" si="6">IF( M13 &lt;= M$28, 3, IF( M13 &gt;= M$29, 1, 2 ) )</f>
        <v>2</v>
      </c>
      <c r="P13" s="228">
        <f t="shared" ref="P13:P21" si="7" xml:space="preserve"> IF( OR( ISBLANK( L13 ), ISBLANK( M13 ) ), 0, IFERROR( O13 - N13, 0 ) )</f>
        <v>0</v>
      </c>
    </row>
    <row r="14" spans="2:46" outlineLevel="1" x14ac:dyDescent="0.25">
      <c r="C14" s="8" t="s">
        <v>82</v>
      </c>
      <c r="E14" s="137">
        <f xml:space="preserve"> VLOOKUP( $C14, 'CALCS│Wholesale Totex'!$C$165:$I$181, MATCH( E$6, 'CALCS│Wholesale Totex'!$C$2:$I$2, 0 ), 0 )</f>
        <v>4.2841076603991959E-2</v>
      </c>
      <c r="F14" s="137">
        <f xml:space="preserve"> VLOOKUP( $C14, 'CALCS│Wholesale Totex'!$C$165:$I$181, MATCH( F$6, 'CALCS│Wholesale Totex'!$C$2:$I$2, 0 ), 0 )</f>
        <v>6.1323993472443591E-2</v>
      </c>
      <c r="G14" s="228">
        <f t="shared" si="2"/>
        <v>1</v>
      </c>
      <c r="H14" s="228">
        <f t="shared" si="3"/>
        <v>1</v>
      </c>
      <c r="I14" s="228">
        <f t="shared" si="4"/>
        <v>0</v>
      </c>
      <c r="L14" s="137">
        <f xml:space="preserve"> VLOOKUP( $C14, 'CALCS│Residential Retail'!$C$329:$I$345, MATCH( L$6, 'CALCS│Residential Retail'!$C$2:$I$2, 0 ), 0 )</f>
        <v>0.12453595019916663</v>
      </c>
      <c r="M14" s="137">
        <f xml:space="preserve"> VLOOKUP( $C14, 'CALCS│Residential Retail'!$C$329:$I$345, MATCH( M$6, 'CALCS│Residential Retail'!$C$2:$I$2, 0 ), 0 )</f>
        <v>0.14066479900373052</v>
      </c>
      <c r="N14" s="228">
        <f t="shared" si="5"/>
        <v>1</v>
      </c>
      <c r="O14" s="228">
        <f t="shared" si="6"/>
        <v>1</v>
      </c>
      <c r="P14" s="228">
        <f t="shared" si="7"/>
        <v>0</v>
      </c>
    </row>
    <row r="15" spans="2:46" outlineLevel="1" x14ac:dyDescent="0.25">
      <c r="C15" s="8" t="s">
        <v>89</v>
      </c>
      <c r="E15" s="137">
        <f xml:space="preserve"> VLOOKUP( $C15, 'CALCS│Wholesale Totex'!$C$165:$I$181, MATCH( E$6, 'CALCS│Wholesale Totex'!$C$2:$I$2, 0 ), 0 )</f>
        <v>-4.8201963435789572E-2</v>
      </c>
      <c r="F15" s="137">
        <f xml:space="preserve"> VLOOKUP( $C15, 'CALCS│Wholesale Totex'!$C$165:$I$181, MATCH( F$6, 'CALCS│Wholesale Totex'!$C$2:$I$2, 0 ), 0 )</f>
        <v>-5.3535740543229002E-3</v>
      </c>
      <c r="G15" s="228">
        <f t="shared" si="2"/>
        <v>2</v>
      </c>
      <c r="H15" s="228">
        <f t="shared" si="3"/>
        <v>2</v>
      </c>
      <c r="I15" s="228">
        <f t="shared" si="4"/>
        <v>0</v>
      </c>
      <c r="L15" s="137">
        <f xml:space="preserve"> VLOOKUP( $C15, 'CALCS│Residential Retail'!$C$329:$I$345, MATCH( L$6, 'CALCS│Residential Retail'!$C$2:$I$2, 0 ), 0 )</f>
        <v>-0.1826148536507525</v>
      </c>
      <c r="M15" s="137">
        <f xml:space="preserve"> VLOOKUP( $C15, 'CALCS│Residential Retail'!$C$329:$I$345, MATCH( M$6, 'CALCS│Residential Retail'!$C$2:$I$2, 0 ), 0 )</f>
        <v>-0.14582813021686511</v>
      </c>
      <c r="N15" s="228">
        <f t="shared" si="5"/>
        <v>3</v>
      </c>
      <c r="O15" s="228">
        <f t="shared" si="6"/>
        <v>3</v>
      </c>
      <c r="P15" s="228">
        <f t="shared" si="7"/>
        <v>0</v>
      </c>
    </row>
    <row r="16" spans="2:46" outlineLevel="1" x14ac:dyDescent="0.25">
      <c r="C16" s="8" t="s">
        <v>91</v>
      </c>
      <c r="E16" s="137">
        <f xml:space="preserve"> VLOOKUP( $C16, 'CALCS│Wholesale Totex'!$C$165:$I$181, MATCH( E$6, 'CALCS│Wholesale Totex'!$C$2:$I$2, 0 ), 0 )</f>
        <v>-0.16108741233461063</v>
      </c>
      <c r="F16" s="137">
        <f xml:space="preserve"> VLOOKUP( $C16, 'CALCS│Wholesale Totex'!$C$165:$I$181, MATCH( F$6, 'CALCS│Wholesale Totex'!$C$2:$I$2, 0 ), 0 )</f>
        <v>-0.15519822356762086</v>
      </c>
      <c r="G16" s="228">
        <f t="shared" si="2"/>
        <v>3</v>
      </c>
      <c r="H16" s="228">
        <f t="shared" si="3"/>
        <v>3</v>
      </c>
      <c r="I16" s="228">
        <f t="shared" si="4"/>
        <v>0</v>
      </c>
      <c r="L16" s="137">
        <f xml:space="preserve"> VLOOKUP( $C16, 'CALCS│Residential Retail'!$C$329:$I$345, MATCH( L$6, 'CALCS│Residential Retail'!$C$2:$I$2, 0 ), 0 )</f>
        <v>-0.10954442490942735</v>
      </c>
      <c r="M16" s="137">
        <f xml:space="preserve"> VLOOKUP( $C16, 'CALCS│Residential Retail'!$C$329:$I$345, MATCH( M$6, 'CALCS│Residential Retail'!$C$2:$I$2, 0 ), 0 )</f>
        <v>-0.1178572952144092</v>
      </c>
      <c r="N16" s="228">
        <f t="shared" si="5"/>
        <v>3</v>
      </c>
      <c r="O16" s="228">
        <f t="shared" si="6"/>
        <v>3</v>
      </c>
      <c r="P16" s="228">
        <f t="shared" si="7"/>
        <v>0</v>
      </c>
    </row>
    <row r="17" spans="2:46" outlineLevel="1" x14ac:dyDescent="0.25">
      <c r="C17" s="8" t="s">
        <v>98</v>
      </c>
      <c r="E17" s="137">
        <f xml:space="preserve"> VLOOKUP( $C17, 'CALCS│Wholesale Totex'!$C$165:$I$181, MATCH( E$6, 'CALCS│Wholesale Totex'!$C$2:$I$2, 0 ), 0 )</f>
        <v>7.3268047251425536E-2</v>
      </c>
      <c r="F17" s="137">
        <f xml:space="preserve"> VLOOKUP( $C17, 'CALCS│Wholesale Totex'!$C$165:$I$181, MATCH( F$6, 'CALCS│Wholesale Totex'!$C$2:$I$2, 0 ), 0 )</f>
        <v>6.668970205130674E-2</v>
      </c>
      <c r="G17" s="228">
        <f t="shared" si="2"/>
        <v>1</v>
      </c>
      <c r="H17" s="228">
        <f t="shared" si="3"/>
        <v>1</v>
      </c>
      <c r="I17" s="228">
        <f t="shared" si="4"/>
        <v>0</v>
      </c>
      <c r="L17" s="137">
        <f xml:space="preserve"> VLOOKUP( $C17, 'CALCS│Residential Retail'!$C$329:$I$345, MATCH( L$6, 'CALCS│Residential Retail'!$C$2:$I$2, 0 ), 0 )</f>
        <v>-1.5631249980451224E-2</v>
      </c>
      <c r="M17" s="137">
        <f xml:space="preserve"> VLOOKUP( $C17, 'CALCS│Residential Retail'!$C$329:$I$345, MATCH( M$6, 'CALCS│Residential Retail'!$C$2:$I$2, 0 ), 0 )</f>
        <v>1.7268304400543714E-2</v>
      </c>
      <c r="N17" s="228">
        <f t="shared" si="5"/>
        <v>2</v>
      </c>
      <c r="O17" s="228">
        <f t="shared" si="6"/>
        <v>2</v>
      </c>
      <c r="P17" s="228">
        <f t="shared" si="7"/>
        <v>0</v>
      </c>
    </row>
    <row r="18" spans="2:46" outlineLevel="1" x14ac:dyDescent="0.25">
      <c r="C18" s="8" t="s">
        <v>102</v>
      </c>
      <c r="E18" s="137">
        <f xml:space="preserve"> VLOOKUP( $C18, 'CALCS│Wholesale Totex'!$C$165:$I$181, MATCH( E$6, 'CALCS│Wholesale Totex'!$C$2:$I$2, 0 ), 0 )</f>
        <v>-2.5636009393322103E-4</v>
      </c>
      <c r="F18" s="137">
        <f xml:space="preserve"> VLOOKUP( $C18, 'CALCS│Wholesale Totex'!$C$165:$I$181, MATCH( F$6, 'CALCS│Wholesale Totex'!$C$2:$I$2, 0 ), 0 )</f>
        <v>3.1219434075794555E-2</v>
      </c>
      <c r="G18" s="228">
        <f t="shared" si="2"/>
        <v>1</v>
      </c>
      <c r="H18" s="228">
        <f t="shared" si="3"/>
        <v>1</v>
      </c>
      <c r="I18" s="228">
        <f t="shared" si="4"/>
        <v>0</v>
      </c>
      <c r="L18" s="137">
        <f xml:space="preserve"> VLOOKUP( $C18, 'CALCS│Residential Retail'!$C$329:$I$345, MATCH( L$6, 'CALCS│Residential Retail'!$C$2:$I$2, 0 ), 0 )</f>
        <v>3.790303677311611E-3</v>
      </c>
      <c r="M18" s="137">
        <f xml:space="preserve"> VLOOKUP( $C18, 'CALCS│Residential Retail'!$C$329:$I$345, MATCH( M$6, 'CALCS│Residential Retail'!$C$2:$I$2, 0 ), 0 )</f>
        <v>3.5087817501925737E-2</v>
      </c>
      <c r="N18" s="228">
        <f t="shared" si="5"/>
        <v>2</v>
      </c>
      <c r="O18" s="228">
        <f t="shared" si="6"/>
        <v>2</v>
      </c>
      <c r="P18" s="228">
        <f t="shared" si="7"/>
        <v>0</v>
      </c>
    </row>
    <row r="19" spans="2:46" outlineLevel="1" x14ac:dyDescent="0.25">
      <c r="C19" s="8" t="s">
        <v>108</v>
      </c>
      <c r="E19" s="137">
        <f xml:space="preserve"> VLOOKUP( $C19, 'CALCS│Wholesale Totex'!$C$165:$I$181, MATCH( E$6, 'CALCS│Wholesale Totex'!$C$2:$I$2, 0 ), 0 )</f>
        <v>-3.8438449201215037E-2</v>
      </c>
      <c r="F19" s="137">
        <f xml:space="preserve"> VLOOKUP( $C19, 'CALCS│Wholesale Totex'!$C$165:$I$181, MATCH( F$6, 'CALCS│Wholesale Totex'!$C$2:$I$2, 0 ), 0 )</f>
        <v>-1.2854310551427591E-3</v>
      </c>
      <c r="G19" s="228">
        <f t="shared" si="2"/>
        <v>2</v>
      </c>
      <c r="H19" s="228">
        <f t="shared" si="3"/>
        <v>2</v>
      </c>
      <c r="I19" s="228">
        <f t="shared" si="4"/>
        <v>0</v>
      </c>
      <c r="L19" s="137">
        <f xml:space="preserve"> VLOOKUP( $C19, 'CALCS│Residential Retail'!$C$329:$I$345, MATCH( L$6, 'CALCS│Residential Retail'!$C$2:$I$2, 0 ), 0 )</f>
        <v>3.3776013434514883E-2</v>
      </c>
      <c r="M19" s="137">
        <f xml:space="preserve"> VLOOKUP( $C19, 'CALCS│Residential Retail'!$C$329:$I$345, MATCH( M$6, 'CALCS│Residential Retail'!$C$2:$I$2, 0 ), 0 )</f>
        <v>3.2580804014675717E-2</v>
      </c>
      <c r="N19" s="228">
        <f t="shared" si="5"/>
        <v>2</v>
      </c>
      <c r="O19" s="228">
        <f t="shared" si="6"/>
        <v>2</v>
      </c>
      <c r="P19" s="228">
        <f t="shared" si="7"/>
        <v>0</v>
      </c>
    </row>
    <row r="20" spans="2:46" outlineLevel="1" x14ac:dyDescent="0.25">
      <c r="C20" s="8" t="s">
        <v>112</v>
      </c>
      <c r="E20" s="137">
        <f xml:space="preserve"> VLOOKUP( $C20, 'CALCS│Wholesale Totex'!$C$165:$I$181, MATCH( E$6, 'CALCS│Wholesale Totex'!$C$2:$I$2, 0 ), 0 )</f>
        <v>-6.2521088651917758E-2</v>
      </c>
      <c r="F20" s="137">
        <f xml:space="preserve"> VLOOKUP( $C20, 'CALCS│Wholesale Totex'!$C$165:$I$181, MATCH( F$6, 'CALCS│Wholesale Totex'!$C$2:$I$2, 0 ), 0 )</f>
        <v>-4.4414831981460109E-2</v>
      </c>
      <c r="G20" s="228">
        <f t="shared" si="2"/>
        <v>2</v>
      </c>
      <c r="H20" s="228">
        <f t="shared" si="3"/>
        <v>3</v>
      </c>
      <c r="I20" s="228">
        <f t="shared" si="4"/>
        <v>1</v>
      </c>
      <c r="L20" s="137">
        <f xml:space="preserve"> VLOOKUP( $C20, 'CALCS│Residential Retail'!$C$329:$I$345, MATCH( L$6, 'CALCS│Residential Retail'!$C$2:$I$2, 0 ), 0 )</f>
        <v>-0.19921386313978784</v>
      </c>
      <c r="M20" s="137">
        <f xml:space="preserve"> VLOOKUP( $C20, 'CALCS│Residential Retail'!$C$329:$I$345, MATCH( M$6, 'CALCS│Residential Retail'!$C$2:$I$2, 0 ), 0 )</f>
        <v>-0.1808609186408843</v>
      </c>
      <c r="N20" s="228">
        <f t="shared" si="5"/>
        <v>3</v>
      </c>
      <c r="O20" s="228">
        <f t="shared" si="6"/>
        <v>3</v>
      </c>
      <c r="P20" s="228">
        <f t="shared" si="7"/>
        <v>0</v>
      </c>
    </row>
    <row r="21" spans="2:46" outlineLevel="1" x14ac:dyDescent="0.25">
      <c r="C21" s="83" t="s">
        <v>110</v>
      </c>
      <c r="E21" s="137">
        <f xml:space="preserve"> VLOOKUP( $C21, 'CALCS│Wholesale Totex'!$C$165:$I$181, MATCH( E$6, 'CALCS│Wholesale Totex'!$C$2:$I$2, 0 ), 0 )</f>
        <v>-3.2654902745304845E-2</v>
      </c>
      <c r="F21" s="137">
        <f xml:space="preserve"> VLOOKUP( $C21, 'CALCS│Wholesale Totex'!$C$165:$I$181, MATCH( F$6, 'CALCS│Wholesale Totex'!$C$2:$I$2, 0 ), 0 )</f>
        <v>-5.645022270927033E-3</v>
      </c>
      <c r="G21" s="228">
        <f t="shared" si="2"/>
        <v>2</v>
      </c>
      <c r="H21" s="228">
        <f t="shared" si="3"/>
        <v>2</v>
      </c>
      <c r="I21" s="228">
        <f t="shared" si="4"/>
        <v>0</v>
      </c>
      <c r="L21" s="137">
        <f xml:space="preserve"> VLOOKUP( $C21, 'CALCS│Residential Retail'!$C$329:$I$345, MATCH( L$6, 'CALCS│Residential Retail'!$C$2:$I$2, 0 ), 0 )</f>
        <v>0.27934179077793708</v>
      </c>
      <c r="M21" s="137">
        <f xml:space="preserve"> VLOOKUP( $C21, 'CALCS│Residential Retail'!$C$329:$I$345, MATCH( M$6, 'CALCS│Residential Retail'!$C$2:$I$2, 0 ), 0 )</f>
        <v>0.32398672847925869</v>
      </c>
      <c r="N21" s="228">
        <f t="shared" si="5"/>
        <v>1</v>
      </c>
      <c r="O21" s="228">
        <f t="shared" si="6"/>
        <v>1</v>
      </c>
      <c r="P21" s="228">
        <f t="shared" si="7"/>
        <v>0</v>
      </c>
    </row>
    <row r="22" spans="2:46" outlineLevel="1" x14ac:dyDescent="0.25">
      <c r="I22" s="241"/>
      <c r="P22" s="241"/>
    </row>
    <row r="23" spans="2:46" outlineLevel="1" x14ac:dyDescent="0.25">
      <c r="C23" s="8" t="s">
        <v>85</v>
      </c>
      <c r="E23" s="137">
        <f xml:space="preserve"> VLOOKUP( $C23, 'CALCS│Wholesale Totex'!$C$165:$I$181, MATCH( E$6, 'CALCS│Wholesale Totex'!$C$2:$I$2, 0 ), 0 )</f>
        <v>-3.0323244428867028E-2</v>
      </c>
      <c r="F23" s="137">
        <f xml:space="preserve"> VLOOKUP( $C23, 'CALCS│Wholesale Totex'!$C$165:$I$181, MATCH( F$6, 'CALCS│Wholesale Totex'!$C$2:$I$2, 0 ), 0 )</f>
        <v>1.8414753080946877E-2</v>
      </c>
      <c r="G23" s="228">
        <f t="shared" ref="G23:H26" si="8">IF( E23 &lt;= E$28, 3, IF( E23 &gt;= E$29, 1, 2 ) )</f>
        <v>2</v>
      </c>
      <c r="H23" s="228">
        <f t="shared" si="8"/>
        <v>2</v>
      </c>
      <c r="I23" s="228">
        <f xml:space="preserve"> IF( OR( ISBLANK( E23 ), ISBLANK( F23 ) ), 0, IFERROR( H23 - G23, 0 ) )</f>
        <v>0</v>
      </c>
      <c r="L23" s="137">
        <f xml:space="preserve"> VLOOKUP( $C23, 'CALCS│Residential Retail'!$C$329:$I$345, MATCH( L$6, 'CALCS│Residential Retail'!$C$2:$I$2, 0 ), 0 )</f>
        <v>-1.9770300364896937E-2</v>
      </c>
      <c r="M23" s="137">
        <f xml:space="preserve"> VLOOKUP( $C23, 'CALCS│Residential Retail'!$C$329:$I$345, MATCH( M$6, 'CALCS│Residential Retail'!$C$2:$I$2, 0 ), 0 )</f>
        <v>3.7631437661848094E-2</v>
      </c>
      <c r="N23" s="228">
        <f t="shared" ref="N23:O26" si="9">IF( L23 &lt;= L$28, 3, IF( L23 &gt;= L$29, 1, 2 ) )</f>
        <v>2</v>
      </c>
      <c r="O23" s="228">
        <f t="shared" si="9"/>
        <v>2</v>
      </c>
      <c r="P23" s="228">
        <f xml:space="preserve"> IF( OR( ISBLANK( L23 ), ISBLANK( M23 ) ), 0, IFERROR( O23 - N23, 0 ) )</f>
        <v>0</v>
      </c>
    </row>
    <row r="24" spans="2:46" outlineLevel="1" x14ac:dyDescent="0.25">
      <c r="C24" s="8" t="s">
        <v>96</v>
      </c>
      <c r="E24" s="137">
        <f xml:space="preserve"> VLOOKUP( $C24, 'CALCS│Wholesale Totex'!$C$165:$I$181, MATCH( E$6, 'CALCS│Wholesale Totex'!$C$2:$I$2, 0 ), 0 )</f>
        <v>6.3487531339175687E-2</v>
      </c>
      <c r="F24" s="137">
        <f xml:space="preserve"> VLOOKUP( $C24, 'CALCS│Wholesale Totex'!$C$165:$I$181, MATCH( F$6, 'CALCS│Wholesale Totex'!$C$2:$I$2, 0 ), 0 )</f>
        <v>8.8599241427931769E-2</v>
      </c>
      <c r="G24" s="228">
        <f t="shared" si="8"/>
        <v>1</v>
      </c>
      <c r="H24" s="228">
        <f t="shared" si="8"/>
        <v>1</v>
      </c>
      <c r="I24" s="228">
        <f xml:space="preserve"> IF( OR( ISBLANK( E24 ), ISBLANK( F24 ) ), 0, IFERROR( H24 - G24, 0 ) )</f>
        <v>0</v>
      </c>
      <c r="L24" s="137">
        <f xml:space="preserve"> VLOOKUP( $C24, 'CALCS│Residential Retail'!$C$329:$I$345, MATCH( L$6, 'CALCS│Residential Retail'!$C$2:$I$2, 0 ), 0 )</f>
        <v>8.6853171815163818E-2</v>
      </c>
      <c r="M24" s="137">
        <f xml:space="preserve"> VLOOKUP( $C24, 'CALCS│Residential Retail'!$C$329:$I$345, MATCH( M$6, 'CALCS│Residential Retail'!$C$2:$I$2, 0 ), 0 )</f>
        <v>0.14580241822380274</v>
      </c>
      <c r="N24" s="228">
        <f t="shared" si="9"/>
        <v>1</v>
      </c>
      <c r="O24" s="228">
        <f t="shared" si="9"/>
        <v>1</v>
      </c>
      <c r="P24" s="228">
        <f xml:space="preserve"> IF( OR( ISBLANK( L24 ), ISBLANK( M24 ) ), 0, IFERROR( O24 - N24, 0 ) )</f>
        <v>0</v>
      </c>
    </row>
    <row r="25" spans="2:46" outlineLevel="1" x14ac:dyDescent="0.25">
      <c r="C25" s="8" t="s">
        <v>94</v>
      </c>
      <c r="E25" s="137">
        <f xml:space="preserve"> VLOOKUP( $C25, 'CALCS│Wholesale Totex'!$C$165:$I$181, MATCH( E$6, 'CALCS│Wholesale Totex'!$C$2:$I$2, 0 ), 0 )</f>
        <v>-7.6862866431460994E-2</v>
      </c>
      <c r="F25" s="137">
        <f xml:space="preserve"> VLOOKUP( $C25, 'CALCS│Wholesale Totex'!$C$165:$I$181, MATCH( F$6, 'CALCS│Wholesale Totex'!$C$2:$I$2, 0 ), 0 )</f>
        <v>-4.9242608849277151E-3</v>
      </c>
      <c r="G25" s="228">
        <f t="shared" si="8"/>
        <v>3</v>
      </c>
      <c r="H25" s="228">
        <f t="shared" si="8"/>
        <v>2</v>
      </c>
      <c r="I25" s="228">
        <f xml:space="preserve"> IF( OR( ISBLANK( E25 ), ISBLANK( F25 ) ), 0, IFERROR( H25 - G25, 0 ) )</f>
        <v>-1</v>
      </c>
      <c r="L25" s="137">
        <f xml:space="preserve"> VLOOKUP( $C25, 'CALCS│Residential Retail'!$C$329:$I$345, MATCH( L$6, 'CALCS│Residential Retail'!$C$2:$I$2, 0 ), 0 )</f>
        <v>0.31338629974271082</v>
      </c>
      <c r="M25" s="137">
        <f xml:space="preserve"> VLOOKUP( $C25, 'CALCS│Residential Retail'!$C$329:$I$345, MATCH( M$6, 'CALCS│Residential Retail'!$C$2:$I$2, 0 ), 0 )</f>
        <v>0.35979671560053228</v>
      </c>
      <c r="N25" s="228">
        <f t="shared" si="9"/>
        <v>1</v>
      </c>
      <c r="O25" s="228">
        <f t="shared" si="9"/>
        <v>1</v>
      </c>
      <c r="P25" s="228">
        <f xml:space="preserve"> IF( OR( ISBLANK( L25 ), ISBLANK( M25 ) ), 0, IFERROR( O25 - N25, 0 ) )</f>
        <v>0</v>
      </c>
    </row>
    <row r="26" spans="2:46" outlineLevel="1" x14ac:dyDescent="0.25">
      <c r="C26" s="8" t="s">
        <v>104</v>
      </c>
      <c r="E26" s="137">
        <f xml:space="preserve"> VLOOKUP( $C26, 'CALCS│Wholesale Totex'!$C$165:$I$181, MATCH( E$6, 'CALCS│Wholesale Totex'!$C$2:$I$2, 0 ), 0 )</f>
        <v>-2.6393146865164286E-3</v>
      </c>
      <c r="F26" s="137">
        <f xml:space="preserve"> VLOOKUP( $C26, 'CALCS│Wholesale Totex'!$C$165:$I$181, MATCH( F$6, 'CALCS│Wholesale Totex'!$C$2:$I$2, 0 ), 0 )</f>
        <v>2.2111264649892368E-2</v>
      </c>
      <c r="G26" s="228">
        <f t="shared" si="8"/>
        <v>2</v>
      </c>
      <c r="H26" s="228">
        <f t="shared" si="8"/>
        <v>1</v>
      </c>
      <c r="I26" s="228">
        <f xml:space="preserve"> IF( OR( ISBLANK( E26 ), ISBLANK( F26 ) ), 0, IFERROR( H26 - G26, 0 ) )</f>
        <v>-1</v>
      </c>
      <c r="L26" s="137">
        <f xml:space="preserve"> VLOOKUP( $C26, 'CALCS│Residential Retail'!$C$329:$I$345, MATCH( L$6, 'CALCS│Residential Retail'!$C$2:$I$2, 0 ), 0 )</f>
        <v>0.13228822367862264</v>
      </c>
      <c r="M26" s="137">
        <f xml:space="preserve"> VLOOKUP( $C26, 'CALCS│Residential Retail'!$C$329:$I$345, MATCH( M$6, 'CALCS│Residential Retail'!$C$2:$I$2, 0 ), 0 )</f>
        <v>0.14774802309834031</v>
      </c>
      <c r="N26" s="228">
        <f t="shared" si="9"/>
        <v>1</v>
      </c>
      <c r="O26" s="228">
        <f t="shared" si="9"/>
        <v>1</v>
      </c>
      <c r="P26" s="228">
        <f xml:space="preserve"> IF( OR( ISBLANK( L26 ), ISBLANK( M26 ) ), 0, IFERROR( O26 - N26, 0 ) )</f>
        <v>0</v>
      </c>
    </row>
    <row r="27" spans="2:46" outlineLevel="1" x14ac:dyDescent="0.25"/>
    <row r="28" spans="2:46" outlineLevel="1" x14ac:dyDescent="0.25">
      <c r="C28" s="18" t="s">
        <v>595</v>
      </c>
      <c r="E28" s="138">
        <f>_xlfn.PERCENTILE.INC(E8:E26, 0.25)</f>
        <v>-7.6862866431460994E-2</v>
      </c>
      <c r="F28" s="138">
        <f>_xlfn.PERCENTILE.INC(F8:F26, 0.25)</f>
        <v>-4.4414831981460109E-2</v>
      </c>
      <c r="H28" s="103"/>
      <c r="L28" s="138">
        <f>_xlfn.PERCENTILE.INC(L8:L26, 0.25)</f>
        <v>-9.5207776024237079E-2</v>
      </c>
      <c r="M28" s="138">
        <f>_xlfn.PERCENTILE.INC(M8:M26, 0.25)</f>
        <v>-4.2773939783616752E-2</v>
      </c>
      <c r="N28" s="103"/>
    </row>
    <row r="29" spans="2:46" outlineLevel="1" x14ac:dyDescent="0.25">
      <c r="C29" s="18" t="s">
        <v>596</v>
      </c>
      <c r="E29" s="138">
        <f>_xlfn.PERCENTILE.INC(E8:E26, 0.75)</f>
        <v>-2.5636009393322103E-4</v>
      </c>
      <c r="F29" s="138">
        <f>_xlfn.PERCENTILE.INC(F8:F26, 0.75)</f>
        <v>2.2111264649892368E-2</v>
      </c>
      <c r="H29" s="103"/>
      <c r="L29" s="138">
        <f>_xlfn.PERCENTILE.INC(L8:L26, 0.75)</f>
        <v>8.6853171815163818E-2</v>
      </c>
      <c r="M29" s="138">
        <f>_xlfn.PERCENTILE.INC(M8:M26, 0.75)</f>
        <v>0.14066479900373052</v>
      </c>
      <c r="N29" s="103"/>
    </row>
    <row r="31" spans="2:46" ht="13.5" x14ac:dyDescent="0.35">
      <c r="B31" s="9" t="s">
        <v>159</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row>
    <row r="32" spans="2:46" outlineLevel="1" x14ac:dyDescent="0.25"/>
    <row r="33" spans="3:6" ht="30" customHeight="1" outlineLevel="1" x14ac:dyDescent="0.25">
      <c r="E33" s="410" t="s">
        <v>793</v>
      </c>
      <c r="F33" s="411"/>
    </row>
    <row r="34" spans="3:6" outlineLevel="1" x14ac:dyDescent="0.25">
      <c r="E34" s="263" t="str">
        <f>Year</f>
        <v>2019-20</v>
      </c>
      <c r="F34" s="263" t="s">
        <v>594</v>
      </c>
    </row>
    <row r="35" spans="3:6" outlineLevel="1" x14ac:dyDescent="0.25"/>
    <row r="36" spans="3:6" outlineLevel="1" x14ac:dyDescent="0.25">
      <c r="C36" s="8" t="s">
        <v>87</v>
      </c>
      <c r="E36" s="166">
        <f xml:space="preserve"> VLOOKUP( $C36, 'INPUTS│Performance Commitments'!$C$263:$I$279, MATCH( E$34, 'INPUTS│Performance Commitments'!$C$3:$I$3, 0 ), 0 )</f>
        <v>79.64</v>
      </c>
      <c r="F36" s="228">
        <f>IF( E36 &gt;= E$56, 3, IF( E36 &lt;= E$57, 1, 2 ) )</f>
        <v>3</v>
      </c>
    </row>
    <row r="37" spans="3:6" outlineLevel="1" x14ac:dyDescent="0.25">
      <c r="C37" s="8" t="s">
        <v>100</v>
      </c>
      <c r="E37" s="166">
        <f xml:space="preserve"> VLOOKUP( $C37, 'INPUTS│Performance Commitments'!$C$263:$I$279, MATCH( E$34, 'INPUTS│Performance Commitments'!$C$3:$I$3, 0 ), 0 )</f>
        <v>81.05</v>
      </c>
      <c r="F37" s="228">
        <f>IF( E37 &gt;= E$56, 3, IF( E37 &lt;= E$57, 1, 2 ) )</f>
        <v>3</v>
      </c>
    </row>
    <row r="38" spans="3:6" outlineLevel="1" x14ac:dyDescent="0.25">
      <c r="C38" s="8" t="s">
        <v>106</v>
      </c>
      <c r="E38" s="166">
        <f xml:space="preserve"> VLOOKUP( $C38, 'INPUTS│Performance Commitments'!$C$263:$I$279, MATCH( E$34, 'INPUTS│Performance Commitments'!$C$3:$I$3, 0 ), 0 )</f>
        <v>78.13</v>
      </c>
      <c r="F38" s="228">
        <f>IF( E38 &gt;= E$56, 3, IF( E38 &lt;= E$57, 1, 2 ) )</f>
        <v>2</v>
      </c>
    </row>
    <row r="39" spans="3:6" outlineLevel="1" x14ac:dyDescent="0.25">
      <c r="C39" s="8" t="s">
        <v>114</v>
      </c>
      <c r="E39" s="166">
        <f xml:space="preserve"> VLOOKUP( $C39, 'INPUTS│Performance Commitments'!$C$263:$I$279, MATCH( E$34, 'INPUTS│Performance Commitments'!$C$3:$I$3, 0 ), 0 )</f>
        <v>77.47</v>
      </c>
      <c r="F39" s="228">
        <f>IF( E39 &gt;= E$56, 3, IF( E39 &lt;= E$57, 1, 2 ) )</f>
        <v>2</v>
      </c>
    </row>
    <row r="40" spans="3:6" outlineLevel="1" x14ac:dyDescent="0.25">
      <c r="E40" s="167"/>
    </row>
    <row r="41" spans="3:6" outlineLevel="1" x14ac:dyDescent="0.25">
      <c r="C41" s="8" t="s">
        <v>80</v>
      </c>
      <c r="E41" s="166">
        <f xml:space="preserve"> VLOOKUP( $C41, 'INPUTS│Performance Commitments'!$C$263:$I$279, MATCH( E$34, 'INPUTS│Performance Commitments'!$C$3:$I$3, 0 ), 0 )</f>
        <v>79.010000000000005</v>
      </c>
      <c r="F41" s="228">
        <f t="shared" ref="F41:F49" si="10">IF( E41 &gt;= E$56, 3, IF( E41 &lt;= E$57, 1, 2 ) )</f>
        <v>2</v>
      </c>
    </row>
    <row r="42" spans="3:6" outlineLevel="1" x14ac:dyDescent="0.25">
      <c r="C42" s="8" t="s">
        <v>82</v>
      </c>
      <c r="E42" s="166">
        <f xml:space="preserve"> VLOOKUP( $C42, 'INPUTS│Performance Commitments'!$C$263:$I$279, MATCH( E$34, 'INPUTS│Performance Commitments'!$C$3:$I$3, 0 ), 0 )</f>
        <v>82.47</v>
      </c>
      <c r="F42" s="228">
        <f t="shared" si="10"/>
        <v>3</v>
      </c>
    </row>
    <row r="43" spans="3:6" outlineLevel="1" x14ac:dyDescent="0.25">
      <c r="C43" s="8" t="s">
        <v>89</v>
      </c>
      <c r="E43" s="166">
        <f xml:space="preserve"> VLOOKUP( $C43, 'INPUTS│Performance Commitments'!$C$263:$I$279, MATCH( E$34, 'INPUTS│Performance Commitments'!$C$3:$I$3, 0 ), 0 )</f>
        <v>77.650000000000006</v>
      </c>
      <c r="F43" s="228">
        <f t="shared" si="10"/>
        <v>2</v>
      </c>
    </row>
    <row r="44" spans="3:6" outlineLevel="1" x14ac:dyDescent="0.25">
      <c r="C44" s="83" t="s">
        <v>91</v>
      </c>
      <c r="E44" s="166">
        <f xml:space="preserve"> VLOOKUP( $C44, 'INPUTS│Performance Commitments'!$C$263:$I$279, MATCH( E$34, 'INPUTS│Performance Commitments'!$C$3:$I$3, 0 ), 0 )</f>
        <v>76.349999999999994</v>
      </c>
      <c r="F44" s="228">
        <f t="shared" si="10"/>
        <v>2</v>
      </c>
    </row>
    <row r="45" spans="3:6" outlineLevel="1" x14ac:dyDescent="0.25">
      <c r="C45" s="8" t="s">
        <v>98</v>
      </c>
      <c r="E45" s="166">
        <f xml:space="preserve"> VLOOKUP( $C45, 'INPUTS│Performance Commitments'!$C$263:$I$279, MATCH( E$34, 'INPUTS│Performance Commitments'!$C$3:$I$3, 0 ), 0 )</f>
        <v>79.760000000000005</v>
      </c>
      <c r="F45" s="228">
        <f t="shared" si="10"/>
        <v>3</v>
      </c>
    </row>
    <row r="46" spans="3:6" outlineLevel="1" x14ac:dyDescent="0.25">
      <c r="C46" s="8" t="s">
        <v>102</v>
      </c>
      <c r="E46" s="166">
        <f xml:space="preserve"> VLOOKUP( $C46, 'INPUTS│Performance Commitments'!$C$263:$I$279, MATCH( E$34, 'INPUTS│Performance Commitments'!$C$3:$I$3, 0 ), 0 )</f>
        <v>79.2</v>
      </c>
      <c r="F46" s="228">
        <f t="shared" si="10"/>
        <v>2</v>
      </c>
    </row>
    <row r="47" spans="3:6" outlineLevel="1" x14ac:dyDescent="0.25">
      <c r="C47" s="8" t="s">
        <v>108</v>
      </c>
      <c r="E47" s="166">
        <f xml:space="preserve"> VLOOKUP( $C47, 'INPUTS│Performance Commitments'!$C$263:$I$279, MATCH( E$34, 'INPUTS│Performance Commitments'!$C$3:$I$3, 0 ), 0 )</f>
        <v>82.09</v>
      </c>
      <c r="F47" s="228">
        <f t="shared" si="10"/>
        <v>3</v>
      </c>
    </row>
    <row r="48" spans="3:6" outlineLevel="1" x14ac:dyDescent="0.25">
      <c r="C48" s="8" t="s">
        <v>112</v>
      </c>
      <c r="E48" s="166">
        <f xml:space="preserve"> VLOOKUP( $C48, 'INPUTS│Performance Commitments'!$C$263:$I$279, MATCH( E$34, 'INPUTS│Performance Commitments'!$C$3:$I$3, 0 ), 0 )</f>
        <v>73.36</v>
      </c>
      <c r="F48" s="228">
        <f t="shared" si="10"/>
        <v>1</v>
      </c>
    </row>
    <row r="49" spans="2:46" outlineLevel="1" x14ac:dyDescent="0.25">
      <c r="C49" s="8" t="s">
        <v>110</v>
      </c>
      <c r="E49" s="166">
        <f xml:space="preserve"> VLOOKUP( $C49, 'INPUTS│Performance Commitments'!$C$263:$I$279, MATCH( E$34, 'INPUTS│Performance Commitments'!$C$3:$I$3, 0 ), 0 )</f>
        <v>72.849999999999994</v>
      </c>
      <c r="F49" s="228">
        <f t="shared" si="10"/>
        <v>1</v>
      </c>
    </row>
    <row r="50" spans="2:46" outlineLevel="1" x14ac:dyDescent="0.25">
      <c r="E50" s="167"/>
    </row>
    <row r="51" spans="2:46" outlineLevel="1" x14ac:dyDescent="0.25">
      <c r="C51" s="8" t="s">
        <v>85</v>
      </c>
      <c r="E51" s="166">
        <f xml:space="preserve"> VLOOKUP( $C51, 'INPUTS│Performance Commitments'!$C$263:$I$279, MATCH( E$34, 'INPUTS│Performance Commitments'!$C$3:$I$3, 0 ), 0 )</f>
        <v>75.010000000000005</v>
      </c>
      <c r="F51" s="228">
        <f>IF( E51 &gt;= E$56, 3, IF( E51 &lt;= E$57, 1, 2 ) )</f>
        <v>2</v>
      </c>
    </row>
    <row r="52" spans="2:46" outlineLevel="1" x14ac:dyDescent="0.25">
      <c r="C52" s="8" t="s">
        <v>96</v>
      </c>
      <c r="E52" s="166">
        <f xml:space="preserve"> VLOOKUP( $C52, 'INPUTS│Performance Commitments'!$C$263:$I$279, MATCH( E$34, 'INPUTS│Performance Commitments'!$C$3:$I$3, 0 ), 0 )</f>
        <v>65.12</v>
      </c>
      <c r="F52" s="228">
        <f>IF( E52 &gt;= E$56, 3, IF( E52 &lt;= E$57, 1, 2 ) )</f>
        <v>1</v>
      </c>
    </row>
    <row r="53" spans="2:46" outlineLevel="1" x14ac:dyDescent="0.25">
      <c r="C53" s="8" t="s">
        <v>94</v>
      </c>
      <c r="E53" s="166">
        <f xml:space="preserve"> VLOOKUP( $C53, 'INPUTS│Performance Commitments'!$C$263:$I$279, MATCH( E$34, 'INPUTS│Performance Commitments'!$C$3:$I$3, 0 ), 0 )</f>
        <v>68.849999999999994</v>
      </c>
      <c r="F53" s="228">
        <f>IF( E53 &gt;= E$56, 3, IF( E53 &lt;= E$57, 1, 2 ) )</f>
        <v>1</v>
      </c>
    </row>
    <row r="54" spans="2:46" outlineLevel="1" x14ac:dyDescent="0.25">
      <c r="C54" s="8" t="s">
        <v>104</v>
      </c>
      <c r="E54" s="166">
        <f xml:space="preserve"> VLOOKUP( $C54, 'INPUTS│Performance Commitments'!$C$263:$I$279, MATCH( E$34, 'INPUTS│Performance Commitments'!$C$3:$I$3, 0 ), 0 )</f>
        <v>72.7</v>
      </c>
      <c r="F54" s="228">
        <f>IF( E54 &gt;= E$56, 3, IF( E54 &lt;= E$57, 1, 2 ) )</f>
        <v>1</v>
      </c>
    </row>
    <row r="55" spans="2:46" outlineLevel="1" x14ac:dyDescent="0.25">
      <c r="E55" s="167"/>
    </row>
    <row r="56" spans="2:46" outlineLevel="1" x14ac:dyDescent="0.25">
      <c r="C56" s="18" t="s">
        <v>595</v>
      </c>
      <c r="E56" s="168">
        <f>_xlfn.PERCENTILE.INC(E36:E54, 0.75)</f>
        <v>79.64</v>
      </c>
    </row>
    <row r="57" spans="2:46" outlineLevel="1" x14ac:dyDescent="0.25">
      <c r="C57" s="18" t="s">
        <v>596</v>
      </c>
      <c r="E57" s="168">
        <f>_xlfn.PERCENTILE.INC(E36:E54, 0.25)</f>
        <v>73.36</v>
      </c>
    </row>
    <row r="59" spans="2:46" ht="13.5" x14ac:dyDescent="0.35">
      <c r="B59" s="9" t="s">
        <v>160</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row>
    <row r="60" spans="2:46" outlineLevel="1" x14ac:dyDescent="0.25"/>
    <row r="61" spans="2:46" ht="30" customHeight="1" outlineLevel="1" x14ac:dyDescent="0.25">
      <c r="E61" s="414" t="s">
        <v>496</v>
      </c>
      <c r="F61" s="414"/>
      <c r="G61" s="414"/>
      <c r="H61" s="414"/>
      <c r="I61" s="414"/>
      <c r="J61" s="324"/>
    </row>
    <row r="62" spans="2:46" ht="30" customHeight="1" outlineLevel="1" x14ac:dyDescent="0.25">
      <c r="E62" s="410" t="s">
        <v>779</v>
      </c>
      <c r="F62" s="411"/>
      <c r="G62" s="412" t="s">
        <v>65</v>
      </c>
      <c r="H62" s="413"/>
      <c r="I62" s="413"/>
      <c r="J62" s="413"/>
    </row>
    <row r="63" spans="2:46" outlineLevel="1" x14ac:dyDescent="0.25">
      <c r="E63" s="263" t="str">
        <f>Last_year</f>
        <v>2018-19</v>
      </c>
      <c r="F63" s="263" t="str">
        <f>Year</f>
        <v>2019-20</v>
      </c>
      <c r="G63" s="263" t="str">
        <f>Last_year</f>
        <v>2018-19</v>
      </c>
      <c r="H63" s="263" t="str">
        <f>Year</f>
        <v>2019-20</v>
      </c>
      <c r="I63" s="263" t="s">
        <v>597</v>
      </c>
      <c r="J63" s="325" t="s">
        <v>780</v>
      </c>
    </row>
    <row r="64" spans="2:46" outlineLevel="1" x14ac:dyDescent="0.25"/>
    <row r="65" spans="3:10" outlineLevel="1" x14ac:dyDescent="0.25">
      <c r="C65" s="8" t="s">
        <v>87</v>
      </c>
      <c r="E65" s="107">
        <f xml:space="preserve"> VLOOKUP( $C65, CALCS│Outcomes!$C$351:$L$367, MATCH( E$63, CALCS│Outcomes!$C$2:$L$2, 0 ), 0 )</f>
        <v>0.58536585365853655</v>
      </c>
      <c r="F65" s="107">
        <f xml:space="preserve"> VLOOKUP( $C65, CALCS│Outcomes!$C$351:$L$367, MATCH( F$63, CALCS│Outcomes!$C$2:$L$2, 0 ), 0 )</f>
        <v>0.7</v>
      </c>
      <c r="G65" s="228">
        <f t="shared" ref="G65:H68" si="11">IF( E65 &gt;= E$85, 3, IF( E65 &lt;= E$86, 1, 2 ) )</f>
        <v>1</v>
      </c>
      <c r="H65" s="228">
        <f t="shared" si="11"/>
        <v>2</v>
      </c>
      <c r="I65" s="242">
        <f xml:space="preserve"> IFERROR( F65 / E65 - 1, "-" )</f>
        <v>0.1958333333333333</v>
      </c>
      <c r="J65" s="228">
        <f xml:space="preserve"> IF( OR( ISBLANK( E65 ), ISBLANK( F65 ) ), 0, IFERROR( H65 - G65, 0 ) )</f>
        <v>1</v>
      </c>
    </row>
    <row r="66" spans="3:10" outlineLevel="1" x14ac:dyDescent="0.25">
      <c r="C66" s="8" t="s">
        <v>100</v>
      </c>
      <c r="E66" s="107">
        <f xml:space="preserve"> VLOOKUP( $C66, CALCS│Outcomes!$C$351:$L$367, MATCH( E$63, CALCS│Outcomes!$C$2:$L$2, 0 ), 0 )</f>
        <v>0.77419354838709675</v>
      </c>
      <c r="F66" s="107">
        <f xml:space="preserve"> VLOOKUP( $C66, CALCS│Outcomes!$C$351:$L$367, MATCH( F$63, CALCS│Outcomes!$C$2:$L$2, 0 ), 0 )</f>
        <v>0.78125</v>
      </c>
      <c r="G66" s="228">
        <f t="shared" si="11"/>
        <v>3</v>
      </c>
      <c r="H66" s="228">
        <f t="shared" si="11"/>
        <v>3</v>
      </c>
      <c r="I66" s="242">
        <f xml:space="preserve"> IFERROR( F66 / E66 - 1, "-" )</f>
        <v>9.1145833333332593E-3</v>
      </c>
      <c r="J66" s="228">
        <f xml:space="preserve"> IF( OR( ISBLANK( E66 ), ISBLANK( F66 ) ), 0, IFERROR( H66 - G66, 0 ) )</f>
        <v>0</v>
      </c>
    </row>
    <row r="67" spans="3:10" outlineLevel="1" x14ac:dyDescent="0.25">
      <c r="C67" s="8" t="s">
        <v>106</v>
      </c>
      <c r="E67" s="107">
        <f xml:space="preserve"> VLOOKUP( $C67, CALCS│Outcomes!$C$351:$L$367, MATCH( E$63, CALCS│Outcomes!$C$2:$L$2, 0 ), 0 )</f>
        <v>0.42857142857142855</v>
      </c>
      <c r="F67" s="107">
        <f xml:space="preserve"> VLOOKUP( $C67, CALCS│Outcomes!$C$351:$L$367, MATCH( F$63, CALCS│Outcomes!$C$2:$L$2, 0 ), 0 )</f>
        <v>0.66666666666666663</v>
      </c>
      <c r="G67" s="228">
        <f t="shared" si="11"/>
        <v>1</v>
      </c>
      <c r="H67" s="228">
        <f t="shared" si="11"/>
        <v>2</v>
      </c>
      <c r="I67" s="242">
        <f xml:space="preserve"> IFERROR( F67 / E67 - 1, "-" )</f>
        <v>0.55555555555555558</v>
      </c>
      <c r="J67" s="228">
        <f xml:space="preserve"> IF( OR( ISBLANK( E67 ), ISBLANK( F67 ) ), 0, IFERROR( H67 - G67, 0 ) )</f>
        <v>1</v>
      </c>
    </row>
    <row r="68" spans="3:10" outlineLevel="1" x14ac:dyDescent="0.25">
      <c r="C68" s="8" t="s">
        <v>114</v>
      </c>
      <c r="E68" s="107">
        <f xml:space="preserve"> VLOOKUP( $C68, CALCS│Outcomes!$C$351:$L$367, MATCH( E$63, CALCS│Outcomes!$C$2:$L$2, 0 ), 0 )</f>
        <v>0.66666666666666663</v>
      </c>
      <c r="F68" s="107">
        <f xml:space="preserve"> VLOOKUP( $C68, CALCS│Outcomes!$C$351:$L$367, MATCH( F$63, CALCS│Outcomes!$C$2:$L$2, 0 ), 0 )</f>
        <v>0.73333333333333328</v>
      </c>
      <c r="G68" s="228">
        <f t="shared" si="11"/>
        <v>2</v>
      </c>
      <c r="H68" s="228">
        <f t="shared" si="11"/>
        <v>3</v>
      </c>
      <c r="I68" s="242">
        <f xml:space="preserve"> IFERROR( F68 / E68 - 1, "-" )</f>
        <v>0.10000000000000009</v>
      </c>
      <c r="J68" s="228">
        <f xml:space="preserve"> IF( OR( ISBLANK( E68 ), ISBLANK( F68 ) ), 0, IFERROR( H68 - G68, 0 ) )</f>
        <v>1</v>
      </c>
    </row>
    <row r="69" spans="3:10" outlineLevel="1" x14ac:dyDescent="0.25">
      <c r="G69" s="241"/>
      <c r="H69" s="241"/>
      <c r="I69" s="241"/>
      <c r="J69" s="241"/>
    </row>
    <row r="70" spans="3:10" outlineLevel="1" x14ac:dyDescent="0.25">
      <c r="C70" s="8" t="s">
        <v>80</v>
      </c>
      <c r="E70" s="107">
        <f xml:space="preserve"> VLOOKUP( $C70, CALCS│Outcomes!$C$351:$L$367, MATCH( E$63, CALCS│Outcomes!$C$2:$L$2, 0 ), 0 )</f>
        <v>0.9285714285714286</v>
      </c>
      <c r="F70" s="107">
        <f xml:space="preserve"> VLOOKUP( $C70, CALCS│Outcomes!$C$351:$L$367, MATCH( F$63, CALCS│Outcomes!$C$2:$L$2, 0 ), 0 )</f>
        <v>0.66421052631578947</v>
      </c>
      <c r="G70" s="228">
        <f t="shared" ref="G70:G78" si="12">IF( E70 &gt;= E$85, 3, IF( E70 &lt;= E$86, 1, 2 ) )</f>
        <v>3</v>
      </c>
      <c r="H70" s="228">
        <f t="shared" ref="H70:H78" si="13">IF( F70 &gt;= F$85, 3, IF( F70 &lt;= F$86, 1, 2 ) )</f>
        <v>2</v>
      </c>
      <c r="I70" s="242">
        <f xml:space="preserve"> IFERROR( F70 / E70 - 1, "-" )</f>
        <v>-0.28469635627530365</v>
      </c>
      <c r="J70" s="228">
        <f xml:space="preserve"> IF( OR( ISBLANK( E70 ), ISBLANK( F70 ) ), 0, IFERROR( H70 - G70, 0 ) )</f>
        <v>-1</v>
      </c>
    </row>
    <row r="71" spans="3:10" outlineLevel="1" x14ac:dyDescent="0.25">
      <c r="C71" s="8" t="s">
        <v>82</v>
      </c>
      <c r="E71" s="107">
        <f xml:space="preserve"> VLOOKUP( $C71, CALCS│Outcomes!$C$351:$L$367, MATCH( E$63, CALCS│Outcomes!$C$2:$L$2, 0 ), 0 )</f>
        <v>0.62962962962962965</v>
      </c>
      <c r="F71" s="107">
        <f xml:space="preserve"> VLOOKUP( $C71, CALCS│Outcomes!$C$351:$L$367, MATCH( F$63, CALCS│Outcomes!$C$2:$L$2, 0 ), 0 )</f>
        <v>0.66666666666666663</v>
      </c>
      <c r="G71" s="228">
        <f t="shared" si="12"/>
        <v>2</v>
      </c>
      <c r="H71" s="228">
        <f t="shared" si="13"/>
        <v>2</v>
      </c>
      <c r="I71" s="242">
        <f t="shared" ref="I71:I78" si="14" xml:space="preserve"> IFERROR( F71 / E71 - 1, "-" )</f>
        <v>5.8823529411764719E-2</v>
      </c>
      <c r="J71" s="228">
        <f t="shared" ref="J71:J78" si="15" xml:space="preserve"> IF( OR( ISBLANK( E71 ), ISBLANK( F71 ) ), 0, IFERROR( H71 - G71, 0 ) )</f>
        <v>0</v>
      </c>
    </row>
    <row r="72" spans="3:10" outlineLevel="1" x14ac:dyDescent="0.25">
      <c r="C72" s="8" t="s">
        <v>89</v>
      </c>
      <c r="E72" s="226"/>
      <c r="F72" s="107">
        <f xml:space="preserve"> VLOOKUP( $C72, CALCS│Outcomes!$C$351:$L$367, MATCH( F$63, CALCS│Outcomes!$C$2:$L$2, 0 ), 0 )</f>
        <v>0.62</v>
      </c>
      <c r="G72" s="228">
        <f t="shared" si="12"/>
        <v>1</v>
      </c>
      <c r="H72" s="228">
        <f t="shared" si="13"/>
        <v>2</v>
      </c>
      <c r="I72" s="242" t="str">
        <f t="shared" si="14"/>
        <v>-</v>
      </c>
      <c r="J72" s="228">
        <f t="shared" si="15"/>
        <v>0</v>
      </c>
    </row>
    <row r="73" spans="3:10" outlineLevel="1" x14ac:dyDescent="0.25">
      <c r="C73" s="8" t="s">
        <v>91</v>
      </c>
      <c r="E73" s="107">
        <f xml:space="preserve"> VLOOKUP( $C73, CALCS│Outcomes!$C$351:$L$367, MATCH( E$63, CALCS│Outcomes!$C$2:$L$2, 0 ), 0 )</f>
        <v>0.7142857142857143</v>
      </c>
      <c r="F73" s="107">
        <f xml:space="preserve"> VLOOKUP( $C73, CALCS│Outcomes!$C$351:$L$367, MATCH( F$63, CALCS│Outcomes!$C$2:$L$2, 0 ), 0 )</f>
        <v>0.70370370370370372</v>
      </c>
      <c r="G73" s="228">
        <f t="shared" si="12"/>
        <v>2</v>
      </c>
      <c r="H73" s="228">
        <f t="shared" si="13"/>
        <v>2</v>
      </c>
      <c r="I73" s="242">
        <f xml:space="preserve"> IFERROR( F73 / E73 - 1, "-" )</f>
        <v>-1.4814814814814836E-2</v>
      </c>
      <c r="J73" s="228">
        <f xml:space="preserve"> IF( OR( ISBLANK( E73 ), ISBLANK( F73 ) ), 0, IFERROR( H73 - G73, 0 ) )</f>
        <v>0</v>
      </c>
    </row>
    <row r="74" spans="3:10" outlineLevel="1" x14ac:dyDescent="0.25">
      <c r="C74" s="8" t="s">
        <v>98</v>
      </c>
      <c r="E74" s="107">
        <f xml:space="preserve"> VLOOKUP( $C74, CALCS│Outcomes!$C$351:$L$367, MATCH( E$63, CALCS│Outcomes!$C$2:$L$2, 0 ), 0 )</f>
        <v>0.7407407407407407</v>
      </c>
      <c r="F74" s="107">
        <f xml:space="preserve"> VLOOKUP( $C74, CALCS│Outcomes!$C$351:$L$367, MATCH( F$63, CALCS│Outcomes!$C$2:$L$2, 0 ), 0 )</f>
        <v>0.59259259259259256</v>
      </c>
      <c r="G74" s="228">
        <f t="shared" si="12"/>
        <v>2</v>
      </c>
      <c r="H74" s="228">
        <f t="shared" si="13"/>
        <v>1</v>
      </c>
      <c r="I74" s="242">
        <f t="shared" si="14"/>
        <v>-0.19999999999999996</v>
      </c>
      <c r="J74" s="228">
        <f t="shared" si="15"/>
        <v>-1</v>
      </c>
    </row>
    <row r="75" spans="3:10" outlineLevel="1" x14ac:dyDescent="0.25">
      <c r="C75" s="8" t="s">
        <v>102</v>
      </c>
      <c r="E75" s="107">
        <f xml:space="preserve"> VLOOKUP( $C75, CALCS│Outcomes!$C$351:$L$367, MATCH( E$63, CALCS│Outcomes!$C$2:$L$2, 0 ), 0 )</f>
        <v>0.76666666666666672</v>
      </c>
      <c r="F75" s="107">
        <f xml:space="preserve"> VLOOKUP( $C75, CALCS│Outcomes!$C$351:$L$367, MATCH( F$63, CALCS│Outcomes!$C$2:$L$2, 0 ), 0 )</f>
        <v>0.88235294117647056</v>
      </c>
      <c r="G75" s="228">
        <f t="shared" si="12"/>
        <v>2</v>
      </c>
      <c r="H75" s="228">
        <f t="shared" si="13"/>
        <v>3</v>
      </c>
      <c r="I75" s="242">
        <f t="shared" si="14"/>
        <v>0.15089514066496146</v>
      </c>
      <c r="J75" s="228">
        <f t="shared" si="15"/>
        <v>1</v>
      </c>
    </row>
    <row r="76" spans="3:10" outlineLevel="1" x14ac:dyDescent="0.25">
      <c r="C76" s="8" t="s">
        <v>108</v>
      </c>
      <c r="E76" s="107">
        <f xml:space="preserve"> VLOOKUP( $C76, CALCS│Outcomes!$C$351:$L$367, MATCH( E$63, CALCS│Outcomes!$C$2:$L$2, 0 ), 0 )</f>
        <v>0.8</v>
      </c>
      <c r="F76" s="107">
        <f xml:space="preserve"> VLOOKUP( $C76, CALCS│Outcomes!$C$351:$L$367, MATCH( F$63, CALCS│Outcomes!$C$2:$L$2, 0 ), 0 )</f>
        <v>0.75</v>
      </c>
      <c r="G76" s="228">
        <f t="shared" si="12"/>
        <v>3</v>
      </c>
      <c r="H76" s="228">
        <f t="shared" si="13"/>
        <v>3</v>
      </c>
      <c r="I76" s="242">
        <f xml:space="preserve"> IFERROR( F76 / E76 - 1, "-" )</f>
        <v>-6.25E-2</v>
      </c>
      <c r="J76" s="228">
        <f xml:space="preserve"> IF( OR( ISBLANK( E76 ), ISBLANK( F76 ) ), 0, IFERROR( H76 - G76, 0 ) )</f>
        <v>0</v>
      </c>
    </row>
    <row r="77" spans="3:10" outlineLevel="1" x14ac:dyDescent="0.25">
      <c r="C77" s="8" t="s">
        <v>112</v>
      </c>
      <c r="E77" s="107">
        <f xml:space="preserve"> VLOOKUP( $C77, CALCS│Outcomes!$C$351:$L$367, MATCH( E$63, CALCS│Outcomes!$C$2:$L$2, 0 ), 0 )</f>
        <v>0.32142857142857145</v>
      </c>
      <c r="F77" s="107">
        <f xml:space="preserve"> VLOOKUP( $C77, CALCS│Outcomes!$C$351:$L$367, MATCH( F$63, CALCS│Outcomes!$C$2:$L$2, 0 ), 0 )</f>
        <v>0.5</v>
      </c>
      <c r="G77" s="228">
        <f t="shared" si="12"/>
        <v>1</v>
      </c>
      <c r="H77" s="228">
        <f t="shared" si="13"/>
        <v>1</v>
      </c>
      <c r="I77" s="242">
        <f t="shared" si="14"/>
        <v>0.55555555555555536</v>
      </c>
      <c r="J77" s="228">
        <f t="shared" si="15"/>
        <v>0</v>
      </c>
    </row>
    <row r="78" spans="3:10" outlineLevel="1" x14ac:dyDescent="0.25">
      <c r="C78" s="8" t="s">
        <v>110</v>
      </c>
      <c r="E78" s="107">
        <f xml:space="preserve"> VLOOKUP( $C78, CALCS│Outcomes!$C$351:$L$367, MATCH( E$63, CALCS│Outcomes!$C$2:$L$2, 0 ), 0 )</f>
        <v>0.7142857142857143</v>
      </c>
      <c r="F78" s="107">
        <f xml:space="preserve"> VLOOKUP( $C78, CALCS│Outcomes!$C$351:$L$367, MATCH( F$63, CALCS│Outcomes!$C$2:$L$2, 0 ), 0 )</f>
        <v>0.7142857142857143</v>
      </c>
      <c r="G78" s="228">
        <f t="shared" si="12"/>
        <v>2</v>
      </c>
      <c r="H78" s="228">
        <f t="shared" si="13"/>
        <v>3</v>
      </c>
      <c r="I78" s="242">
        <f t="shared" si="14"/>
        <v>0</v>
      </c>
      <c r="J78" s="228">
        <f t="shared" si="15"/>
        <v>1</v>
      </c>
    </row>
    <row r="79" spans="3:10" outlineLevel="1" x14ac:dyDescent="0.25">
      <c r="G79" s="241"/>
      <c r="H79" s="241"/>
      <c r="I79" s="241"/>
      <c r="J79" s="241"/>
    </row>
    <row r="80" spans="3:10" outlineLevel="1" x14ac:dyDescent="0.25">
      <c r="C80" s="8" t="s">
        <v>85</v>
      </c>
      <c r="E80" s="226"/>
      <c r="F80" s="107">
        <f xml:space="preserve"> VLOOKUP( $C80, CALCS│Outcomes!$C$351:$L$367, MATCH( F$63, CALCS│Outcomes!$C$2:$L$2, 0 ), 0 )</f>
        <v>0.51282051282051277</v>
      </c>
      <c r="G80" s="228">
        <f t="shared" ref="G80:H83" si="16">IF( E80 &gt;= E$85, 3, IF( E80 &lt;= E$86, 1, 2 ) )</f>
        <v>1</v>
      </c>
      <c r="H80" s="228">
        <f t="shared" si="16"/>
        <v>1</v>
      </c>
      <c r="I80" s="242" t="str">
        <f xml:space="preserve"> IFERROR( F80 / E80 - 1, "-" )</f>
        <v>-</v>
      </c>
      <c r="J80" s="228">
        <f xml:space="preserve"> IF( OR( ISBLANK( E80 ), ISBLANK( F80 ) ), 0, IFERROR( H80 - G80, 0 ) )</f>
        <v>0</v>
      </c>
    </row>
    <row r="81" spans="2:46" outlineLevel="1" x14ac:dyDescent="0.25">
      <c r="C81" s="8" t="s">
        <v>96</v>
      </c>
      <c r="E81" s="107">
        <f xml:space="preserve"> VLOOKUP( $C81, CALCS│Outcomes!$C$351:$L$367, MATCH( E$63, CALCS│Outcomes!$C$2:$L$2, 0 ), 0 )</f>
        <v>0.55000000000000004</v>
      </c>
      <c r="F81" s="107">
        <f xml:space="preserve"> VLOOKUP( $C81, CALCS│Outcomes!$C$351:$L$367, MATCH( F$63, CALCS│Outcomes!$C$2:$L$2, 0 ), 0 )</f>
        <v>0.57999999999999996</v>
      </c>
      <c r="G81" s="228">
        <f t="shared" si="16"/>
        <v>1</v>
      </c>
      <c r="H81" s="228">
        <f t="shared" si="16"/>
        <v>1</v>
      </c>
      <c r="I81" s="242">
        <f xml:space="preserve"> IFERROR( F81 / E81 - 1, "-" )</f>
        <v>5.4545454545454453E-2</v>
      </c>
      <c r="J81" s="228">
        <f xml:space="preserve"> IF( OR( ISBLANK( E81 ), ISBLANK( F81 ) ), 0, IFERROR( H81 - G81, 0 ) )</f>
        <v>0</v>
      </c>
    </row>
    <row r="82" spans="2:46" outlineLevel="1" x14ac:dyDescent="0.25">
      <c r="C82" s="8" t="s">
        <v>94</v>
      </c>
      <c r="E82" s="107">
        <f xml:space="preserve"> VLOOKUP( $C82, CALCS│Outcomes!$C$351:$L$367, MATCH( E$63, CALCS│Outcomes!$C$2:$L$2, 0 ), 0 )</f>
        <v>0.64</v>
      </c>
      <c r="F82" s="107">
        <f xml:space="preserve"> VLOOKUP( $C82, CALCS│Outcomes!$C$351:$L$367, MATCH( F$63, CALCS│Outcomes!$C$2:$L$2, 0 ), 0 )</f>
        <v>0.33333333333333331</v>
      </c>
      <c r="G82" s="228">
        <f t="shared" si="16"/>
        <v>2</v>
      </c>
      <c r="H82" s="228">
        <f t="shared" si="16"/>
        <v>1</v>
      </c>
      <c r="I82" s="242">
        <f xml:space="preserve"> IFERROR( F82 / E82 - 1, "-" )</f>
        <v>-0.47916666666666674</v>
      </c>
      <c r="J82" s="228">
        <f xml:space="preserve"> IF( OR( ISBLANK( E82 ), ISBLANK( F82 ) ), 0, IFERROR( H82 - G82, 0 ) )</f>
        <v>-1</v>
      </c>
    </row>
    <row r="83" spans="2:46" outlineLevel="1" x14ac:dyDescent="0.25">
      <c r="C83" s="8" t="s">
        <v>104</v>
      </c>
      <c r="E83" s="107">
        <f xml:space="preserve"> VLOOKUP( $C83, CALCS│Outcomes!$C$351:$L$367, MATCH( E$63, CALCS│Outcomes!$C$2:$L$2, 0 ), 0 )</f>
        <v>0.9</v>
      </c>
      <c r="F83" s="107">
        <f xml:space="preserve"> VLOOKUP( $C83, CALCS│Outcomes!$C$351:$L$367, MATCH( F$63, CALCS│Outcomes!$C$2:$L$2, 0 ), 0 )</f>
        <v>0.7</v>
      </c>
      <c r="G83" s="228">
        <f t="shared" si="16"/>
        <v>3</v>
      </c>
      <c r="H83" s="228">
        <f t="shared" si="16"/>
        <v>2</v>
      </c>
      <c r="I83" s="242">
        <f xml:space="preserve"> IFERROR( F83 / E83 - 1, "-" )</f>
        <v>-0.22222222222222232</v>
      </c>
      <c r="J83" s="228">
        <f xml:space="preserve"> IF( OR( ISBLANK( E83 ), ISBLANK( F83 ) ), 0, IFERROR( H83 - G83, 0 ) )</f>
        <v>-1</v>
      </c>
    </row>
    <row r="84" spans="2:46" outlineLevel="1" x14ac:dyDescent="0.25"/>
    <row r="85" spans="2:46" outlineLevel="1" x14ac:dyDescent="0.25">
      <c r="C85" s="18" t="s">
        <v>595</v>
      </c>
      <c r="E85" s="139">
        <f>_xlfn.PERCENTILE.INC(E65:E83, 0.75)</f>
        <v>0.77043010752688179</v>
      </c>
      <c r="F85" s="139">
        <f>_xlfn.PERCENTILE.INC(F65:F83, 0.75)</f>
        <v>0.7142857142857143</v>
      </c>
      <c r="G85" s="326"/>
      <c r="H85" s="103"/>
      <c r="I85" s="103"/>
      <c r="J85" s="103"/>
    </row>
    <row r="86" spans="2:46" outlineLevel="1" x14ac:dyDescent="0.25">
      <c r="C86" s="18" t="s">
        <v>596</v>
      </c>
      <c r="E86" s="139">
        <f>_xlfn.PERCENTILE.INC(E65:E83, 0.25)</f>
        <v>0.6074977416440831</v>
      </c>
      <c r="F86" s="139">
        <f>_xlfn.PERCENTILE.INC(F65:F83, 0.25)</f>
        <v>0.59259259259259256</v>
      </c>
      <c r="G86" s="326"/>
      <c r="H86" s="103"/>
      <c r="I86" s="103"/>
      <c r="J86" s="103"/>
    </row>
    <row r="88" spans="2:46" ht="13.5" x14ac:dyDescent="0.35">
      <c r="B88" s="9" t="s">
        <v>161</v>
      </c>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row>
    <row r="89" spans="2:46" outlineLevel="1" x14ac:dyDescent="0.25"/>
    <row r="90" spans="2:46" ht="30" customHeight="1" outlineLevel="1" x14ac:dyDescent="0.25">
      <c r="E90" s="412" t="s">
        <v>582</v>
      </c>
      <c r="F90" s="413"/>
      <c r="G90" s="413"/>
      <c r="H90" s="413"/>
      <c r="I90" s="413"/>
      <c r="J90" s="413"/>
    </row>
    <row r="91" spans="2:46" ht="30" customHeight="1" outlineLevel="1" x14ac:dyDescent="0.25">
      <c r="E91" s="410" t="s">
        <v>598</v>
      </c>
      <c r="F91" s="411"/>
      <c r="G91" s="412" t="s">
        <v>65</v>
      </c>
      <c r="H91" s="413"/>
      <c r="I91" s="413"/>
      <c r="J91" s="413"/>
    </row>
    <row r="92" spans="2:46" outlineLevel="1" x14ac:dyDescent="0.25">
      <c r="E92" s="263" t="str">
        <f>Last_year</f>
        <v>2018-19</v>
      </c>
      <c r="F92" s="263" t="str">
        <f>Year</f>
        <v>2019-20</v>
      </c>
      <c r="G92" s="263" t="str">
        <f>Last_year</f>
        <v>2018-19</v>
      </c>
      <c r="H92" s="263" t="str">
        <f>Year</f>
        <v>2019-20</v>
      </c>
      <c r="I92" s="263" t="s">
        <v>597</v>
      </c>
      <c r="J92" s="325" t="s">
        <v>780</v>
      </c>
    </row>
    <row r="93" spans="2:46" outlineLevel="1" x14ac:dyDescent="0.25"/>
    <row r="94" spans="2:46" outlineLevel="1" x14ac:dyDescent="0.25">
      <c r="C94" s="8" t="s">
        <v>87</v>
      </c>
      <c r="E94" s="106">
        <f xml:space="preserve"> VLOOKUP( $C94, CALCS│Outcomes!$C$419:$L$435, MATCH( E$92, CALCS│Outcomes!$C$2:$L$2, 0 ), 0 )</f>
        <v>-2.315892953681791E-3</v>
      </c>
      <c r="F94" s="106">
        <f xml:space="preserve"> VLOOKUP( $C94, CALCS│Outcomes!$C$419:$L$435, MATCH( F$92, CALCS│Outcomes!$C$2:$L$2, 0 ), 0 )</f>
        <v>-1.3909182719633263E-4</v>
      </c>
      <c r="G94" s="228">
        <f t="shared" ref="G94:H97" si="17">IF( E94 &gt;= E$114, 3, IF( E94 &lt;= E$115, 1, 2 ) )</f>
        <v>2</v>
      </c>
      <c r="H94" s="228">
        <f t="shared" si="17"/>
        <v>2</v>
      </c>
      <c r="I94" s="242">
        <f xml:space="preserve"> IFERROR( ( F94 - E94 ) / ABS( E94 ), "-" )</f>
        <v>0.93994030381447236</v>
      </c>
      <c r="J94" s="228">
        <f xml:space="preserve"> IF( OR( ISBLANK( E94 ), ISBLANK( F94 ) ), 0, IFERROR( H94 - G94, 0 ) )</f>
        <v>0</v>
      </c>
    </row>
    <row r="95" spans="2:46" outlineLevel="1" x14ac:dyDescent="0.25">
      <c r="C95" s="8" t="s">
        <v>100</v>
      </c>
      <c r="E95" s="106">
        <f xml:space="preserve"> VLOOKUP( $C95, CALCS│Outcomes!$C$419:$L$435, MATCH( E$92, CALCS│Outcomes!$C$2:$L$2, 0 ), 0 )</f>
        <v>2.4219465102399674E-3</v>
      </c>
      <c r="F95" s="106">
        <f xml:space="preserve"> VLOOKUP( $C95, CALCS│Outcomes!$C$419:$L$435, MATCH( F$92, CALCS│Outcomes!$C$2:$L$2, 0 ), 0 )</f>
        <v>5.4459820581858305E-3</v>
      </c>
      <c r="G95" s="228">
        <f t="shared" si="17"/>
        <v>2</v>
      </c>
      <c r="H95" s="228">
        <f t="shared" si="17"/>
        <v>3</v>
      </c>
      <c r="I95" s="242">
        <f xml:space="preserve"> IFERROR( ( F95 - E95 ) / ABS( E95 ), "-" )</f>
        <v>1.2485971656104993</v>
      </c>
      <c r="J95" s="228">
        <f xml:space="preserve"> IF( OR( ISBLANK( E95 ), ISBLANK( F95 ) ), 0, IFERROR( H95 - G95, 0 ) )</f>
        <v>1</v>
      </c>
    </row>
    <row r="96" spans="2:46" outlineLevel="1" x14ac:dyDescent="0.25">
      <c r="C96" s="8" t="s">
        <v>106</v>
      </c>
      <c r="E96" s="106">
        <f xml:space="preserve"> VLOOKUP( $C96, CALCS│Outcomes!$C$419:$L$435, MATCH( E$92, CALCS│Outcomes!$C$2:$L$2, 0 ), 0 )</f>
        <v>-2.0100924693402255E-2</v>
      </c>
      <c r="F96" s="106">
        <f xml:space="preserve"> VLOOKUP( $C96, CALCS│Outcomes!$C$419:$L$435, MATCH( F$92, CALCS│Outcomes!$C$2:$L$2, 0 ), 0 )</f>
        <v>1.0574354228586226E-2</v>
      </c>
      <c r="G96" s="228">
        <f t="shared" si="17"/>
        <v>1</v>
      </c>
      <c r="H96" s="228">
        <f t="shared" si="17"/>
        <v>3</v>
      </c>
      <c r="I96" s="242">
        <f xml:space="preserve"> IFERROR( ( F96 - E96 ) / ABS( E96 ), "-" )</f>
        <v>1.5260630737080993</v>
      </c>
      <c r="J96" s="228">
        <f xml:space="preserve"> IF( OR( ISBLANK( E96 ), ISBLANK( F96 ) ), 0, IFERROR( H96 - G96, 0 ) )</f>
        <v>2</v>
      </c>
    </row>
    <row r="97" spans="3:10" outlineLevel="1" x14ac:dyDescent="0.25">
      <c r="C97" s="8" t="s">
        <v>114</v>
      </c>
      <c r="E97" s="106">
        <f xml:space="preserve"> VLOOKUP( $C97, CALCS│Outcomes!$C$419:$L$435, MATCH( E$92, CALCS│Outcomes!$C$2:$L$2, 0 ), 0 )</f>
        <v>1.9045609742082456E-3</v>
      </c>
      <c r="F97" s="106">
        <f xml:space="preserve"> VLOOKUP( $C97, CALCS│Outcomes!$C$419:$L$435, MATCH( F$92, CALCS│Outcomes!$C$2:$L$2, 0 ), 0 )</f>
        <v>7.7425887131510763E-3</v>
      </c>
      <c r="G97" s="228">
        <f t="shared" si="17"/>
        <v>2</v>
      </c>
      <c r="H97" s="228">
        <f t="shared" si="17"/>
        <v>3</v>
      </c>
      <c r="I97" s="242">
        <f xml:space="preserve"> IFERROR( ( F97 - E97 ) / ABS( E97 ), "-" )</f>
        <v>3.0652879156939492</v>
      </c>
      <c r="J97" s="228">
        <f xml:space="preserve"> IF( OR( ISBLANK( E97 ), ISBLANK( F97 ) ), 0, IFERROR( H97 - G97, 0 ) )</f>
        <v>1</v>
      </c>
    </row>
    <row r="98" spans="3:10" outlineLevel="1" x14ac:dyDescent="0.25">
      <c r="G98" s="241"/>
      <c r="H98" s="241"/>
      <c r="I98" s="241"/>
      <c r="J98" s="241"/>
    </row>
    <row r="99" spans="3:10" outlineLevel="1" x14ac:dyDescent="0.25">
      <c r="C99" s="8" t="s">
        <v>80</v>
      </c>
      <c r="E99" s="106">
        <f xml:space="preserve"> VLOOKUP( $C99, CALCS│Outcomes!$C$419:$L$435, MATCH( E$92, CALCS│Outcomes!$C$2:$L$2, 0 ), 0 )</f>
        <v>4.7759262420559593E-3</v>
      </c>
      <c r="F99" s="106">
        <f xml:space="preserve"> VLOOKUP( $C99, CALCS│Outcomes!$C$419:$L$435, MATCH( F$92, CALCS│Outcomes!$C$2:$L$2, 0 ), 0 )</f>
        <v>-3.1936335269790051E-3</v>
      </c>
      <c r="G99" s="228">
        <f t="shared" ref="G99:G107" si="18">IF( E99 &gt;= E$114, 3, IF( E99 &lt;= E$115, 1, 2 ) )</f>
        <v>3</v>
      </c>
      <c r="H99" s="228">
        <f t="shared" ref="H99:H107" si="19">IF( F99 &gt;= F$114, 3, IF( F99 &lt;= F$115, 1, 2 ) )</f>
        <v>1</v>
      </c>
      <c r="I99" s="242">
        <f t="shared" ref="I99:I107" si="20" xml:space="preserve"> IFERROR( ( F99 - E99 ) / ABS( E99 ), "-" )</f>
        <v>-1.6686940637517464</v>
      </c>
      <c r="J99" s="228">
        <f t="shared" ref="J99:J107" si="21" xml:space="preserve"> IF( OR( ISBLANK( E99 ), ISBLANK( F99 ) ), 0, IFERROR( H99 - G99, 0 ) )</f>
        <v>-2</v>
      </c>
    </row>
    <row r="100" spans="3:10" outlineLevel="1" x14ac:dyDescent="0.25">
      <c r="C100" s="8" t="s">
        <v>82</v>
      </c>
      <c r="E100" s="106">
        <f xml:space="preserve"> VLOOKUP( $C100, CALCS│Outcomes!$C$419:$L$435, MATCH( E$92, CALCS│Outcomes!$C$2:$L$2, 0 ), 0 )</f>
        <v>-1.9566461759691617E-4</v>
      </c>
      <c r="F100" s="106">
        <f xml:space="preserve"> VLOOKUP( $C100, CALCS│Outcomes!$C$419:$L$435, MATCH( F$92, CALCS│Outcomes!$C$2:$L$2, 0 ), 0 )</f>
        <v>-1.7385545053671481E-3</v>
      </c>
      <c r="G100" s="228">
        <f t="shared" si="18"/>
        <v>2</v>
      </c>
      <c r="H100" s="228">
        <f t="shared" si="19"/>
        <v>2</v>
      </c>
      <c r="I100" s="242">
        <f t="shared" si="20"/>
        <v>-7.8853801301403461</v>
      </c>
      <c r="J100" s="228">
        <f t="shared" si="21"/>
        <v>0</v>
      </c>
    </row>
    <row r="101" spans="3:10" outlineLevel="1" x14ac:dyDescent="0.25">
      <c r="C101" s="8" t="s">
        <v>89</v>
      </c>
      <c r="E101" s="226"/>
      <c r="F101" s="106">
        <f xml:space="preserve"> VLOOKUP( $C101, CALCS│Outcomes!$C$419:$L$435, MATCH( F$92, CALCS│Outcomes!$C$2:$L$2, 0 ), 0 )</f>
        <v>9.9237784293071257E-3</v>
      </c>
      <c r="G101" s="228">
        <f t="shared" si="18"/>
        <v>2</v>
      </c>
      <c r="H101" s="228">
        <f t="shared" si="19"/>
        <v>3</v>
      </c>
      <c r="I101" s="242" t="str">
        <f t="shared" si="20"/>
        <v>-</v>
      </c>
      <c r="J101" s="228">
        <f t="shared" si="21"/>
        <v>0</v>
      </c>
    </row>
    <row r="102" spans="3:10" outlineLevel="1" x14ac:dyDescent="0.25">
      <c r="C102" s="8" t="s">
        <v>91</v>
      </c>
      <c r="E102" s="106">
        <f xml:space="preserve"> VLOOKUP( $C102, CALCS│Outcomes!$C$419:$L$435, MATCH( E$92, CALCS│Outcomes!$C$2:$L$2, 0 ), 0 )</f>
        <v>3.6573300562620817E-3</v>
      </c>
      <c r="F102" s="106">
        <f xml:space="preserve"> VLOOKUP( $C102, CALCS│Outcomes!$C$419:$L$435, MATCH( F$92, CALCS│Outcomes!$C$2:$L$2, 0 ), 0 )</f>
        <v>1.8127317147424602E-3</v>
      </c>
      <c r="G102" s="228">
        <f t="shared" si="18"/>
        <v>3</v>
      </c>
      <c r="H102" s="228">
        <f t="shared" si="19"/>
        <v>2</v>
      </c>
      <c r="I102" s="242">
        <f t="shared" si="20"/>
        <v>-0.50435654238022609</v>
      </c>
      <c r="J102" s="228">
        <f t="shared" si="21"/>
        <v>-1</v>
      </c>
    </row>
    <row r="103" spans="3:10" outlineLevel="1" x14ac:dyDescent="0.25">
      <c r="C103" s="8" t="s">
        <v>98</v>
      </c>
      <c r="E103" s="106">
        <f xml:space="preserve"> VLOOKUP( $C103, CALCS│Outcomes!$C$419:$L$435, MATCH( E$92, CALCS│Outcomes!$C$2:$L$2, 0 ), 0 )</f>
        <v>5.2723202724486917E-3</v>
      </c>
      <c r="F103" s="106">
        <f xml:space="preserve"> VLOOKUP( $C103, CALCS│Outcomes!$C$419:$L$435, MATCH( F$92, CALCS│Outcomes!$C$2:$L$2, 0 ), 0 )</f>
        <v>4.496188906245294E-3</v>
      </c>
      <c r="G103" s="228">
        <f t="shared" si="18"/>
        <v>3</v>
      </c>
      <c r="H103" s="228">
        <f t="shared" si="19"/>
        <v>2</v>
      </c>
      <c r="I103" s="242">
        <f t="shared" si="20"/>
        <v>-0.14720869106893786</v>
      </c>
      <c r="J103" s="228">
        <f t="shared" si="21"/>
        <v>-1</v>
      </c>
    </row>
    <row r="104" spans="3:10" outlineLevel="1" x14ac:dyDescent="0.25">
      <c r="C104" s="8" t="s">
        <v>102</v>
      </c>
      <c r="E104" s="106">
        <f xml:space="preserve"> VLOOKUP( $C104, CALCS│Outcomes!$C$419:$L$435, MATCH( E$92, CALCS│Outcomes!$C$2:$L$2, 0 ), 0 )</f>
        <v>4.1311488369656204E-3</v>
      </c>
      <c r="F104" s="106">
        <f xml:space="preserve"> VLOOKUP( $C104, CALCS│Outcomes!$C$419:$L$435, MATCH( F$92, CALCS│Outcomes!$C$2:$L$2, 0 ), 0 )</f>
        <v>1.2640694472659917E-2</v>
      </c>
      <c r="G104" s="228">
        <f t="shared" si="18"/>
        <v>3</v>
      </c>
      <c r="H104" s="228">
        <f t="shared" si="19"/>
        <v>3</v>
      </c>
      <c r="I104" s="242">
        <f t="shared" si="20"/>
        <v>2.059849686254505</v>
      </c>
      <c r="J104" s="228">
        <f t="shared" si="21"/>
        <v>0</v>
      </c>
    </row>
    <row r="105" spans="3:10" outlineLevel="1" x14ac:dyDescent="0.25">
      <c r="C105" s="8" t="s">
        <v>108</v>
      </c>
      <c r="E105" s="106">
        <f xml:space="preserve"> VLOOKUP( $C105, CALCS│Outcomes!$C$419:$L$435, MATCH( E$92, CALCS│Outcomes!$C$2:$L$2, 0 ), 0 )</f>
        <v>-7.6884090228284165E-3</v>
      </c>
      <c r="F105" s="106">
        <f xml:space="preserve"> VLOOKUP( $C105, CALCS│Outcomes!$C$419:$L$435, MATCH( F$92, CALCS│Outcomes!$C$2:$L$2, 0 ), 0 )</f>
        <v>-1.8252157648301143E-2</v>
      </c>
      <c r="G105" s="228">
        <f t="shared" si="18"/>
        <v>1</v>
      </c>
      <c r="H105" s="228">
        <f t="shared" si="19"/>
        <v>1</v>
      </c>
      <c r="I105" s="242">
        <f t="shared" si="20"/>
        <v>-1.3739836933892116</v>
      </c>
      <c r="J105" s="228">
        <f t="shared" si="21"/>
        <v>0</v>
      </c>
    </row>
    <row r="106" spans="3:10" outlineLevel="1" x14ac:dyDescent="0.25">
      <c r="C106" s="8" t="s">
        <v>112</v>
      </c>
      <c r="E106" s="106">
        <f xml:space="preserve"> VLOOKUP( $C106, CALCS│Outcomes!$C$419:$L$435, MATCH( E$92, CALCS│Outcomes!$C$2:$L$2, 0 ), 0 )</f>
        <v>-1.0684773003286329E-4</v>
      </c>
      <c r="F106" s="106">
        <f xml:space="preserve"> VLOOKUP( $C106, CALCS│Outcomes!$C$419:$L$435, MATCH( F$92, CALCS│Outcomes!$C$2:$L$2, 0 ), 0 )</f>
        <v>1.0805200791437876E-3</v>
      </c>
      <c r="G106" s="228">
        <f t="shared" si="18"/>
        <v>2</v>
      </c>
      <c r="H106" s="228">
        <f t="shared" si="19"/>
        <v>2</v>
      </c>
      <c r="I106" s="242">
        <f t="shared" si="20"/>
        <v>11.112709730112664</v>
      </c>
      <c r="J106" s="228">
        <f t="shared" si="21"/>
        <v>0</v>
      </c>
    </row>
    <row r="107" spans="3:10" outlineLevel="1" x14ac:dyDescent="0.25">
      <c r="C107" s="8" t="s">
        <v>110</v>
      </c>
      <c r="E107" s="106">
        <f xml:space="preserve"> VLOOKUP( $C107, CALCS│Outcomes!$C$419:$L$435, MATCH( E$92, CALCS│Outcomes!$C$2:$L$2, 0 ), 0 )</f>
        <v>-1.8055519789227303E-3</v>
      </c>
      <c r="F107" s="106">
        <f xml:space="preserve"> VLOOKUP( $C107, CALCS│Outcomes!$C$419:$L$435, MATCH( F$92, CALCS│Outcomes!$C$2:$L$2, 0 ), 0 )</f>
        <v>2.611957951147085E-3</v>
      </c>
      <c r="G107" s="228">
        <f t="shared" si="18"/>
        <v>2</v>
      </c>
      <c r="H107" s="228">
        <f t="shared" si="19"/>
        <v>2</v>
      </c>
      <c r="I107" s="242">
        <f t="shared" si="20"/>
        <v>2.4466257308778734</v>
      </c>
      <c r="J107" s="228">
        <f t="shared" si="21"/>
        <v>0</v>
      </c>
    </row>
    <row r="108" spans="3:10" outlineLevel="1" x14ac:dyDescent="0.25">
      <c r="G108" s="241"/>
      <c r="H108" s="241"/>
      <c r="I108" s="241"/>
      <c r="J108" s="241"/>
    </row>
    <row r="109" spans="3:10" outlineLevel="1" x14ac:dyDescent="0.25">
      <c r="C109" s="8" t="s">
        <v>85</v>
      </c>
      <c r="E109" s="226"/>
      <c r="F109" s="106">
        <f xml:space="preserve"> VLOOKUP( $C109, CALCS│Outcomes!$C$419:$L$435, MATCH( F$92, CALCS│Outcomes!$C$2:$L$2, 0 ), 0 )</f>
        <v>-1.8517830641706201E-2</v>
      </c>
      <c r="G109" s="228">
        <f t="shared" ref="G109:H112" si="22">IF( E109 &gt;= E$114, 3, IF( E109 &lt;= E$115, 1, 2 ) )</f>
        <v>2</v>
      </c>
      <c r="H109" s="228">
        <f t="shared" si="22"/>
        <v>1</v>
      </c>
      <c r="I109" s="242" t="str">
        <f xml:space="preserve"> IFERROR( ( F109 - E109 ) / ABS( E109 ), "-" )</f>
        <v>-</v>
      </c>
      <c r="J109" s="228">
        <f xml:space="preserve"> IF( OR( ISBLANK( E109 ), ISBLANK( F109 ) ), 0, IFERROR( H109 - G109, 0 ) )</f>
        <v>0</v>
      </c>
    </row>
    <row r="110" spans="3:10" outlineLevel="1" x14ac:dyDescent="0.25">
      <c r="C110" s="8" t="s">
        <v>96</v>
      </c>
      <c r="E110" s="106">
        <f xml:space="preserve"> VLOOKUP( $C110, CALCS│Outcomes!$C$419:$L$435, MATCH( E$92, CALCS│Outcomes!$C$2:$L$2, 0 ), 0 )</f>
        <v>-1.1337650166482504E-2</v>
      </c>
      <c r="F110" s="106">
        <f xml:space="preserve"> VLOOKUP( $C110, CALCS│Outcomes!$C$419:$L$435, MATCH( F$92, CALCS│Outcomes!$C$2:$L$2, 0 ), 0 )</f>
        <v>-2.8040410943435998E-2</v>
      </c>
      <c r="G110" s="228">
        <f t="shared" si="22"/>
        <v>1</v>
      </c>
      <c r="H110" s="228">
        <f t="shared" si="22"/>
        <v>1</v>
      </c>
      <c r="I110" s="242">
        <f xml:space="preserve"> IFERROR( ( F110 - E110 ) / ABS( E110 ), "-" )</f>
        <v>-1.4732118676877035</v>
      </c>
      <c r="J110" s="228">
        <f xml:space="preserve"> IF( OR( ISBLANK( E110 ), ISBLANK( F110 ) ), 0, IFERROR( H110 - G110, 0 ) )</f>
        <v>0</v>
      </c>
    </row>
    <row r="111" spans="3:10" outlineLevel="1" x14ac:dyDescent="0.25">
      <c r="C111" s="8" t="s">
        <v>94</v>
      </c>
      <c r="E111" s="106">
        <f xml:space="preserve"> VLOOKUP( $C111, CALCS│Outcomes!$C$419:$L$435, MATCH( E$92, CALCS│Outcomes!$C$2:$L$2, 0 ), 0 )</f>
        <v>-2.1463492990944147E-4</v>
      </c>
      <c r="F111" s="106">
        <f xml:space="preserve"> VLOOKUP( $C111, CALCS│Outcomes!$C$419:$L$435, MATCH( F$92, CALCS│Outcomes!$C$2:$L$2, 0 ), 0 )</f>
        <v>-1.7324396618537067E-3</v>
      </c>
      <c r="G111" s="228">
        <f t="shared" si="22"/>
        <v>2</v>
      </c>
      <c r="H111" s="228">
        <f t="shared" si="22"/>
        <v>2</v>
      </c>
      <c r="I111" s="242">
        <f xml:space="preserve"> IFERROR( ( F111 - E111 ) / ABS( E111 ), "-" )</f>
        <v>-7.0715644121143546</v>
      </c>
      <c r="J111" s="228">
        <f xml:space="preserve"> IF( OR( ISBLANK( E111 ), ISBLANK( F111 ) ), 0, IFERROR( H111 - G111, 0 ) )</f>
        <v>0</v>
      </c>
    </row>
    <row r="112" spans="3:10" outlineLevel="1" x14ac:dyDescent="0.25">
      <c r="C112" s="8" t="s">
        <v>104</v>
      </c>
      <c r="E112" s="106">
        <f xml:space="preserve"> VLOOKUP( $C112, CALCS│Outcomes!$C$419:$L$435, MATCH( E$92, CALCS│Outcomes!$C$2:$L$2, 0 ), 0 )</f>
        <v>-1.7591487072770858E-2</v>
      </c>
      <c r="F112" s="106">
        <f xml:space="preserve"> VLOOKUP( $C112, CALCS│Outcomes!$C$419:$L$435, MATCH( F$92, CALCS│Outcomes!$C$2:$L$2, 0 ), 0 )</f>
        <v>-4.4481647215878226E-3</v>
      </c>
      <c r="G112" s="228">
        <f t="shared" si="22"/>
        <v>1</v>
      </c>
      <c r="H112" s="228">
        <f t="shared" si="22"/>
        <v>1</v>
      </c>
      <c r="I112" s="242">
        <f xml:space="preserve"> IFERROR( ( F112 - E112 ) / ABS( E112 ), "-" )</f>
        <v>0.74714106299330696</v>
      </c>
      <c r="J112" s="228">
        <f xml:space="preserve"> IF( OR( ISBLANK( E112 ), ISBLANK( F112 ) ), 0, IFERROR( H112 - G112, 0 ) )</f>
        <v>0</v>
      </c>
    </row>
    <row r="113" spans="2:46" outlineLevel="1" x14ac:dyDescent="0.25"/>
    <row r="114" spans="2:46" outlineLevel="1" x14ac:dyDescent="0.25">
      <c r="C114" s="18" t="s">
        <v>595</v>
      </c>
      <c r="E114" s="104">
        <f>_xlfn.PERCENTILE.INC(E94:E112, 0.75)</f>
        <v>3.0396382832510245E-3</v>
      </c>
      <c r="F114" s="104">
        <f>_xlfn.PERCENTILE.INC(F94:F112, 0.75)</f>
        <v>5.4459820581858305E-3</v>
      </c>
      <c r="G114" s="327"/>
      <c r="H114" s="103"/>
      <c r="I114" s="103"/>
      <c r="J114" s="103"/>
    </row>
    <row r="115" spans="2:46" outlineLevel="1" x14ac:dyDescent="0.25">
      <c r="C115" s="18" t="s">
        <v>596</v>
      </c>
      <c r="E115" s="104">
        <f>_xlfn.PERCENTILE.INC(E94:E112, 0.25)</f>
        <v>-5.002150988255104E-3</v>
      </c>
      <c r="F115" s="104">
        <f>_xlfn.PERCENTILE.INC(F94:F112, 0.25)</f>
        <v>-3.1936335269790051E-3</v>
      </c>
      <c r="G115" s="327"/>
      <c r="H115" s="103"/>
      <c r="I115" s="103"/>
      <c r="J115" s="103"/>
    </row>
    <row r="117" spans="2:46" ht="13.5" x14ac:dyDescent="0.35">
      <c r="B117" s="9" t="s">
        <v>156</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row>
    <row r="118" spans="2:46" outlineLevel="1" x14ac:dyDescent="0.25"/>
    <row r="119" spans="2:46" ht="30" customHeight="1" outlineLevel="1" x14ac:dyDescent="0.25">
      <c r="E119" s="412" t="s">
        <v>575</v>
      </c>
      <c r="F119" s="413"/>
      <c r="G119" s="413"/>
      <c r="H119" s="413"/>
      <c r="I119" s="413"/>
      <c r="J119" s="413"/>
      <c r="L119" s="412" t="s">
        <v>429</v>
      </c>
      <c r="M119" s="413"/>
      <c r="N119" s="413"/>
      <c r="O119" s="413"/>
      <c r="P119" s="413"/>
      <c r="Q119" s="413"/>
      <c r="R119" s="283"/>
      <c r="S119" s="412" t="s">
        <v>432</v>
      </c>
      <c r="T119" s="413"/>
      <c r="U119" s="413"/>
      <c r="V119" s="413"/>
      <c r="W119" s="413"/>
      <c r="X119" s="413"/>
      <c r="Y119" s="283"/>
      <c r="Z119" s="412" t="s">
        <v>251</v>
      </c>
      <c r="AA119" s="413"/>
      <c r="AB119" s="413"/>
      <c r="AC119" s="413"/>
      <c r="AD119" s="413"/>
      <c r="AE119" s="413"/>
      <c r="AF119" s="283"/>
      <c r="AG119" s="412" t="s">
        <v>580</v>
      </c>
      <c r="AH119" s="413"/>
      <c r="AI119" s="413"/>
      <c r="AJ119" s="413"/>
      <c r="AK119" s="413"/>
      <c r="AL119" s="413"/>
      <c r="AM119" s="283"/>
      <c r="AN119" s="412" t="s">
        <v>382</v>
      </c>
      <c r="AO119" s="413"/>
      <c r="AP119" s="413"/>
      <c r="AQ119" s="413"/>
      <c r="AR119" s="413"/>
      <c r="AS119" s="413"/>
    </row>
    <row r="120" spans="2:46" ht="30" customHeight="1" outlineLevel="1" x14ac:dyDescent="0.25">
      <c r="E120" s="410" t="s">
        <v>145</v>
      </c>
      <c r="F120" s="411"/>
      <c r="G120" s="412" t="s">
        <v>65</v>
      </c>
      <c r="H120" s="413"/>
      <c r="I120" s="413"/>
      <c r="J120" s="413"/>
      <c r="L120" s="410" t="s">
        <v>430</v>
      </c>
      <c r="M120" s="411"/>
      <c r="N120" s="412" t="s">
        <v>65</v>
      </c>
      <c r="O120" s="413"/>
      <c r="P120" s="413"/>
      <c r="Q120" s="413"/>
      <c r="R120" s="336"/>
      <c r="S120" s="410" t="s">
        <v>139</v>
      </c>
      <c r="T120" s="411"/>
      <c r="U120" s="412" t="s">
        <v>65</v>
      </c>
      <c r="V120" s="413"/>
      <c r="W120" s="413"/>
      <c r="X120" s="413"/>
      <c r="Y120" s="336"/>
      <c r="Z120" s="410" t="s">
        <v>781</v>
      </c>
      <c r="AA120" s="411"/>
      <c r="AB120" s="412" t="s">
        <v>65</v>
      </c>
      <c r="AC120" s="413"/>
      <c r="AD120" s="413"/>
      <c r="AE120" s="413"/>
      <c r="AF120" s="336"/>
      <c r="AG120" s="410" t="s">
        <v>781</v>
      </c>
      <c r="AH120" s="411"/>
      <c r="AI120" s="412" t="s">
        <v>65</v>
      </c>
      <c r="AJ120" s="413"/>
      <c r="AK120" s="413"/>
      <c r="AL120" s="413"/>
      <c r="AM120" s="336"/>
      <c r="AN120" s="410" t="s">
        <v>782</v>
      </c>
      <c r="AO120" s="411"/>
      <c r="AP120" s="412" t="s">
        <v>65</v>
      </c>
      <c r="AQ120" s="413"/>
      <c r="AR120" s="413"/>
      <c r="AS120" s="413"/>
    </row>
    <row r="121" spans="2:46" outlineLevel="1" x14ac:dyDescent="0.25">
      <c r="E121" s="263" t="str">
        <f>Last_year</f>
        <v>2018-19</v>
      </c>
      <c r="F121" s="263" t="str">
        <f>Year</f>
        <v>2019-20</v>
      </c>
      <c r="G121" s="263" t="str">
        <f>Last_year</f>
        <v>2018-19</v>
      </c>
      <c r="H121" s="263" t="str">
        <f>Year</f>
        <v>2019-20</v>
      </c>
      <c r="I121" s="263" t="s">
        <v>597</v>
      </c>
      <c r="J121" s="325" t="s">
        <v>780</v>
      </c>
      <c r="L121" s="263" t="str">
        <f>Last_year</f>
        <v>2018-19</v>
      </c>
      <c r="M121" s="263" t="str">
        <f>Year</f>
        <v>2019-20</v>
      </c>
      <c r="N121" s="263" t="str">
        <f>Last_year</f>
        <v>2018-19</v>
      </c>
      <c r="O121" s="263" t="str">
        <f>Year</f>
        <v>2019-20</v>
      </c>
      <c r="P121" s="263" t="s">
        <v>597</v>
      </c>
      <c r="Q121" s="325" t="s">
        <v>780</v>
      </c>
      <c r="S121" s="263" t="str">
        <f>Last_year</f>
        <v>2018-19</v>
      </c>
      <c r="T121" s="263" t="str">
        <f>Year</f>
        <v>2019-20</v>
      </c>
      <c r="U121" s="263" t="str">
        <f>Last_year</f>
        <v>2018-19</v>
      </c>
      <c r="V121" s="263" t="str">
        <f>Year</f>
        <v>2019-20</v>
      </c>
      <c r="W121" s="263" t="s">
        <v>597</v>
      </c>
      <c r="X121" s="325" t="s">
        <v>780</v>
      </c>
      <c r="Z121" s="263" t="str">
        <f>Last_year</f>
        <v>2018-19</v>
      </c>
      <c r="AA121" s="263" t="str">
        <f>Year</f>
        <v>2019-20</v>
      </c>
      <c r="AB121" s="263" t="str">
        <f>Last_year</f>
        <v>2018-19</v>
      </c>
      <c r="AC121" s="263" t="str">
        <f>Year</f>
        <v>2019-20</v>
      </c>
      <c r="AD121" s="263" t="s">
        <v>597</v>
      </c>
      <c r="AE121" s="325" t="s">
        <v>780</v>
      </c>
      <c r="AG121" s="263" t="str">
        <f>Last_year</f>
        <v>2018-19</v>
      </c>
      <c r="AH121" s="263" t="str">
        <f>Year</f>
        <v>2019-20</v>
      </c>
      <c r="AI121" s="263" t="str">
        <f>Last_year</f>
        <v>2018-19</v>
      </c>
      <c r="AJ121" s="263" t="str">
        <f>Year</f>
        <v>2019-20</v>
      </c>
      <c r="AK121" s="263" t="s">
        <v>597</v>
      </c>
      <c r="AL121" s="325" t="s">
        <v>780</v>
      </c>
      <c r="AN121" s="263" t="str">
        <f>Last_year</f>
        <v>2018-19</v>
      </c>
      <c r="AO121" s="263" t="str">
        <f>Year</f>
        <v>2019-20</v>
      </c>
      <c r="AP121" s="263" t="str">
        <f>Last_year</f>
        <v>2018-19</v>
      </c>
      <c r="AQ121" s="263" t="str">
        <f>Year</f>
        <v>2019-20</v>
      </c>
      <c r="AR121" s="263" t="s">
        <v>597</v>
      </c>
      <c r="AS121" s="325" t="s">
        <v>780</v>
      </c>
    </row>
    <row r="122" spans="2:46" outlineLevel="1" x14ac:dyDescent="0.25"/>
    <row r="123" spans="2:46" outlineLevel="1" x14ac:dyDescent="0.25">
      <c r="C123" s="8" t="s">
        <v>87</v>
      </c>
      <c r="E123" s="46">
        <f xml:space="preserve"> VLOOKUP( $C123, CALCS│Outcomes!$C$55:$L$71, MATCH( E$121, CALCS│Outcomes!$C$2:$L$2, 0 ), 0 )</f>
        <v>7.6996654156567033</v>
      </c>
      <c r="F123" s="46">
        <f xml:space="preserve"> VLOOKUP( $C123, CALCS│Outcomes!$C$55:$L$71, MATCH( F$121, CALCS│Outcomes!$C$2:$L$2, 0 ), 0 )</f>
        <v>7.5591026022702117</v>
      </c>
      <c r="G123" s="228">
        <f t="shared" ref="G123:H126" si="23">IF( E123 &lt;= E$143, 3, IF( E123 &gt;= E$144, 1, 2 ) )</f>
        <v>2</v>
      </c>
      <c r="H123" s="228">
        <f t="shared" si="23"/>
        <v>2</v>
      </c>
      <c r="I123" s="232">
        <f xml:space="preserve"> F123 / E123 - 1</f>
        <v>-1.8255704085617497E-2</v>
      </c>
      <c r="J123" s="228">
        <f xml:space="preserve"> IF( OR( ISBLANK( E123 ), ISBLANK( F123 ) ), 0, IFERROR( H123 - G123, 0 ) )</f>
        <v>0</v>
      </c>
      <c r="L123" s="46">
        <f xml:space="preserve"> VLOOKUP( $C123, CALCS│Outcomes!$C$80:$L$96, MATCH( L$121, CALCS│Outcomes!$C$2:$L$2, 0 ), 0 )</f>
        <v>152.13824624476933</v>
      </c>
      <c r="M123" s="46">
        <f xml:space="preserve"> VLOOKUP( $C123, CALCS│Outcomes!$C$80:$L$96, MATCH( M$121, CALCS│Outcomes!$C$2:$L$2, 0 ), 0 )</f>
        <v>148.86190071182247</v>
      </c>
      <c r="N123" s="228">
        <f t="shared" ref="N123:O126" si="24">IF( L123 &lt;= L$143, 3, IF( L123 &gt;= L$144, 1, 2 ) )</f>
        <v>2</v>
      </c>
      <c r="O123" s="228">
        <f t="shared" si="24"/>
        <v>2</v>
      </c>
      <c r="P123" s="232">
        <f xml:space="preserve"> M123 / L123 - 1</f>
        <v>-2.1535318132139381E-2</v>
      </c>
      <c r="Q123" s="228">
        <f xml:space="preserve"> IF( OR( ISBLANK( L123 ), ISBLANK( M123 ) ), 0, IFERROR( O123 - N123, 0 ) )</f>
        <v>0</v>
      </c>
      <c r="S123" s="46">
        <f xml:space="preserve"> VLOOKUP( $C123, CALCS│Outcomes!$C$150:$L$166, MATCH( S$121, CALCS│Outcomes!$C$2:$L$2, 0 ), 0 )</f>
        <v>9.1999999999999993</v>
      </c>
      <c r="T123" s="46">
        <f xml:space="preserve"> VLOOKUP( $C123, CALCS│Outcomes!$C$150:$L$166, MATCH( T$121, CALCS│Outcomes!$C$2:$L$2, 0 ), 0 )</f>
        <v>6.1333333333333346</v>
      </c>
      <c r="U123" s="228">
        <f t="shared" ref="U123:V126" si="25">IF( S123 &lt;= S$143, 3, IF( S123 &gt;= S$144, 1, 2 ) )</f>
        <v>2</v>
      </c>
      <c r="V123" s="228">
        <f t="shared" si="25"/>
        <v>3</v>
      </c>
      <c r="W123" s="232">
        <f xml:space="preserve"> T123 / S123 - 1</f>
        <v>-0.33333333333333315</v>
      </c>
      <c r="X123" s="228">
        <f xml:space="preserve"> IF( OR( ISBLANK( S123 ), ISBLANK( T123 ) ), 0, IFERROR( V123 - U123, 0 ) )</f>
        <v>1</v>
      </c>
      <c r="Z123" s="46">
        <f xml:space="preserve"> VLOOKUP( $C123, CALCS│Outcomes!$C$220:$L$236, MATCH( Z$121, CALCS│Outcomes!$C$2:$L$2, 0 ), 0 )</f>
        <v>1.3425628323507699</v>
      </c>
      <c r="AA123" s="46">
        <f xml:space="preserve"> VLOOKUP( $C123, CALCS│Outcomes!$C$220:$L$236, MATCH( AA$121, CALCS│Outcomes!$C$2:$L$2, 0 ), 0 )</f>
        <v>1.0630397570403092</v>
      </c>
      <c r="AB123" s="228">
        <f t="shared" ref="AB123:AC126" si="26">IF( Z123 &lt;= Z$143, 3, IF( Z123 &gt;= Z$144, 1, 2 ) )</f>
        <v>2</v>
      </c>
      <c r="AC123" s="228">
        <f t="shared" si="26"/>
        <v>3</v>
      </c>
      <c r="AD123" s="232">
        <f xml:space="preserve"> AA123 / Z123 - 1</f>
        <v>-0.20820111251033802</v>
      </c>
      <c r="AE123" s="228">
        <f xml:space="preserve"> IF( OR( ISBLANK( Z123 ), ISBLANK( AA123 ) ), 0, IFERROR( AC123 - AB123, 0 ) )</f>
        <v>1</v>
      </c>
      <c r="AG123" s="100">
        <f xml:space="preserve"> _xlfn.IFNA( VLOOKUP( $C123, CALCS│Outcomes!$C$301:$L$311, MATCH( AG$121, CALCS│Outcomes!$C$2:$L$2, 0 ), 0 ), "-" )</f>
        <v>3.1654939115425562</v>
      </c>
      <c r="AH123" s="100">
        <f xml:space="preserve"> _xlfn.IFNA( VLOOKUP( $C123, CALCS│Outcomes!$C$301:$L$311, MATCH( AH$121, CALCS│Outcomes!$C$2:$L$2, 0 ), 0 ), "-" )</f>
        <v>2.9912971947240994</v>
      </c>
      <c r="AI123" s="230">
        <f t="shared" ref="AI123:AJ126" si="27" xml:space="preserve"> IF( AG123 = "-", "-", IF( AG123 &lt;= AG$143, 3, IF( AG123 &gt;= AG$144, 1, 2 ) ) )</f>
        <v>1</v>
      </c>
      <c r="AJ123" s="230">
        <f t="shared" si="27"/>
        <v>1</v>
      </c>
      <c r="AK123" s="242">
        <f xml:space="preserve"> IFERROR( AH123 / AG123 - 1, "-" )</f>
        <v>-5.5029869488382621E-2</v>
      </c>
      <c r="AL123" s="228">
        <f xml:space="preserve"> IF( OR( ISBLANK( AG123 ), ISBLANK( AH123 ) ), 0, IFERROR( AJ123 - AI123, 0 ) )</f>
        <v>0</v>
      </c>
      <c r="AN123" s="101">
        <f xml:space="preserve"> _xlfn.IFNA( VLOOKUP( $C123, CALCS│Outcomes!$C$320:$L$330, MATCH( AN$121, CALCS│Outcomes!$C$2:$L$2, 0 ), 0 ), "-" )</f>
        <v>12</v>
      </c>
      <c r="AO123" s="101">
        <f xml:space="preserve"> _xlfn.IFNA( VLOOKUP( $C123, CALCS│Outcomes!$C$320:$L$330, MATCH( AO$121, CALCS│Outcomes!$C$2:$L$2, 0 ), 0 ), "-" )</f>
        <v>15</v>
      </c>
      <c r="AP123" s="230">
        <f t="shared" ref="AP123:AQ126" si="28" xml:space="preserve"> IF( AN123 = "-", "-", IF( AN123 &lt;= AN$143, 3, IF( AN123 &gt;= AN$144, 1, 2 ) ) )</f>
        <v>3</v>
      </c>
      <c r="AQ123" s="230">
        <f t="shared" si="28"/>
        <v>3</v>
      </c>
      <c r="AR123" s="242">
        <f xml:space="preserve"> IFERROR( AO123 / AN123 - 1, "-" )</f>
        <v>0.25</v>
      </c>
      <c r="AS123" s="228">
        <f xml:space="preserve"> IF( OR( ISBLANK( AN123 ), ISBLANK( AO123 ) ), 0, IFERROR( AQ123 - AP123, 0 ) )</f>
        <v>0</v>
      </c>
    </row>
    <row r="124" spans="2:46" outlineLevel="1" x14ac:dyDescent="0.25">
      <c r="C124" s="8" t="s">
        <v>100</v>
      </c>
      <c r="E124" s="46">
        <f xml:space="preserve"> VLOOKUP( $C124, CALCS│Outcomes!$C$55:$L$71, MATCH( E$121, CALCS│Outcomes!$C$2:$L$2, 0 ), 0 )</f>
        <v>5.543296030961633</v>
      </c>
      <c r="F124" s="46">
        <f xml:space="preserve"> VLOOKUP( $C124, CALCS│Outcomes!$C$55:$L$71, MATCH( F$121, CALCS│Outcomes!$C$2:$L$2, 0 ), 0 )</f>
        <v>5.1005205773373605</v>
      </c>
      <c r="G124" s="228">
        <f t="shared" si="23"/>
        <v>3</v>
      </c>
      <c r="H124" s="228">
        <f t="shared" si="23"/>
        <v>3</v>
      </c>
      <c r="I124" s="232">
        <f xml:space="preserve"> F124 / E124 - 1</f>
        <v>-7.9875844831520104E-2</v>
      </c>
      <c r="J124" s="228">
        <f xml:space="preserve"> IF( OR( ISBLANK( E124 ), ISBLANK( F124 ) ), 0, IFERROR( H124 - G124, 0 ) )</f>
        <v>0</v>
      </c>
      <c r="L124" s="46">
        <f xml:space="preserve"> VLOOKUP( $C124, CALCS│Outcomes!$C$80:$L$96, MATCH( L$121, CALCS│Outcomes!$C$2:$L$2, 0 ), 0 )</f>
        <v>147.34805204878782</v>
      </c>
      <c r="M124" s="46">
        <f xml:space="preserve"> VLOOKUP( $C124, CALCS│Outcomes!$C$80:$L$96, MATCH( M$121, CALCS│Outcomes!$C$2:$L$2, 0 ), 0 )</f>
        <v>145.80733119289394</v>
      </c>
      <c r="N124" s="228">
        <f t="shared" si="24"/>
        <v>2</v>
      </c>
      <c r="O124" s="228">
        <f t="shared" si="24"/>
        <v>2</v>
      </c>
      <c r="P124" s="232">
        <f xml:space="preserve"> M124 / L124 - 1</f>
        <v>-1.0456336778607245E-2</v>
      </c>
      <c r="Q124" s="228">
        <f xml:space="preserve"> IF( OR( ISBLANK( L124 ), ISBLANK( M124 ) ), 0, IFERROR( O124 - N124, 0 ) )</f>
        <v>0</v>
      </c>
      <c r="S124" s="46">
        <f xml:space="preserve"> VLOOKUP( $C124, CALCS│Outcomes!$C$150:$L$166, MATCH( S$121, CALCS│Outcomes!$C$2:$L$2, 0 ), 0 )</f>
        <v>5.85</v>
      </c>
      <c r="T124" s="46">
        <f xml:space="preserve"> VLOOKUP( $C124, CALCS│Outcomes!$C$150:$L$166, MATCH( T$121, CALCS│Outcomes!$C$2:$L$2, 0 ), 0 )</f>
        <v>7.6</v>
      </c>
      <c r="U124" s="228">
        <f t="shared" si="25"/>
        <v>3</v>
      </c>
      <c r="V124" s="228">
        <f t="shared" si="25"/>
        <v>2</v>
      </c>
      <c r="W124" s="232">
        <f xml:space="preserve"> T124 / S124 - 1</f>
        <v>0.29914529914529919</v>
      </c>
      <c r="X124" s="228">
        <f xml:space="preserve"> IF( OR( ISBLANK( S124 ), ISBLANK( T124 ) ), 0, IFERROR( V124 - U124, 0 ) )</f>
        <v>-1</v>
      </c>
      <c r="Z124" s="46">
        <f xml:space="preserve"> VLOOKUP( $C124, CALCS│Outcomes!$C$220:$L$236, MATCH( Z$121, CALCS│Outcomes!$C$2:$L$2, 0 ), 0 )</f>
        <v>1.54</v>
      </c>
      <c r="AA124" s="46">
        <f xml:space="preserve"> VLOOKUP( $C124, CALCS│Outcomes!$C$220:$L$236, MATCH( AA$121, CALCS│Outcomes!$C$2:$L$2, 0 ), 0 )</f>
        <v>1.59</v>
      </c>
      <c r="AB124" s="228">
        <f t="shared" si="26"/>
        <v>2</v>
      </c>
      <c r="AC124" s="228">
        <f t="shared" si="26"/>
        <v>1</v>
      </c>
      <c r="AD124" s="232">
        <f xml:space="preserve"> AA124 / Z124 - 1</f>
        <v>3.2467532467532534E-2</v>
      </c>
      <c r="AE124" s="228">
        <f xml:space="preserve"> IF( OR( ISBLANK( Z124 ), ISBLANK( AA124 ) ), 0, IFERROR( AC124 - AB124, 0 ) )</f>
        <v>-1</v>
      </c>
      <c r="AG124" s="100">
        <f xml:space="preserve"> _xlfn.IFNA( VLOOKUP( $C124, CALCS│Outcomes!$C$301:$L$311, MATCH( AG$121, CALCS│Outcomes!$C$2:$L$2, 0 ), 0 ), "-" )</f>
        <v>1.4326337971918779</v>
      </c>
      <c r="AH124" s="100">
        <f xml:space="preserve"> _xlfn.IFNA( VLOOKUP( $C124, CALCS│Outcomes!$C$301:$L$311, MATCH( AH$121, CALCS│Outcomes!$C$2:$L$2, 0 ), 0 ), "-" )</f>
        <v>1.1600900420572371</v>
      </c>
      <c r="AI124" s="230">
        <f t="shared" si="27"/>
        <v>3</v>
      </c>
      <c r="AJ124" s="230">
        <f t="shared" si="27"/>
        <v>3</v>
      </c>
      <c r="AK124" s="242">
        <f xml:space="preserve"> IFERROR( AH124 / AG124 - 1, "-" )</f>
        <v>-0.19023965207916849</v>
      </c>
      <c r="AL124" s="228">
        <f xml:space="preserve"> IF( OR( ISBLANK( AG124 ), ISBLANK( AH124 ) ), 0, IFERROR( AJ124 - AI124, 0 ) )</f>
        <v>0</v>
      </c>
      <c r="AN124" s="101">
        <f xml:space="preserve"> _xlfn.IFNA( VLOOKUP( $C124, CALCS│Outcomes!$C$320:$L$330, MATCH( AN$121, CALCS│Outcomes!$C$2:$L$2, 0 ), 0 ), "-" )</f>
        <v>24</v>
      </c>
      <c r="AO124" s="101">
        <f xml:space="preserve"> _xlfn.IFNA( VLOOKUP( $C124, CALCS│Outcomes!$C$320:$L$330, MATCH( AO$121, CALCS│Outcomes!$C$2:$L$2, 0 ), 0 ), "-" )</f>
        <v>22</v>
      </c>
      <c r="AP124" s="230">
        <f t="shared" si="28"/>
        <v>3</v>
      </c>
      <c r="AQ124" s="230">
        <f t="shared" si="28"/>
        <v>3</v>
      </c>
      <c r="AR124" s="242">
        <f xml:space="preserve"> IFERROR( AO124 / AN124 - 1, "-" )</f>
        <v>-8.333333333333337E-2</v>
      </c>
      <c r="AS124" s="228">
        <f xml:space="preserve"> IF( OR( ISBLANK( AN124 ), ISBLANK( AO124 ) ), 0, IFERROR( AQ124 - AP124, 0 ) )</f>
        <v>0</v>
      </c>
    </row>
    <row r="125" spans="2:46" outlineLevel="1" x14ac:dyDescent="0.25">
      <c r="C125" s="8" t="s">
        <v>106</v>
      </c>
      <c r="E125" s="46">
        <f xml:space="preserve"> VLOOKUP( $C125, CALCS│Outcomes!$C$55:$L$71, MATCH( E$121, CALCS│Outcomes!$C$2:$L$2, 0 ), 0 )</f>
        <v>6.0908294392523361</v>
      </c>
      <c r="F125" s="46">
        <f xml:space="preserve"> VLOOKUP( $C125, CALCS│Outcomes!$C$55:$L$71, MATCH( F$121, CALCS│Outcomes!$C$2:$L$2, 0 ), 0 )</f>
        <v>5.4124344900515062</v>
      </c>
      <c r="G125" s="228">
        <f t="shared" si="23"/>
        <v>2</v>
      </c>
      <c r="H125" s="228">
        <f t="shared" si="23"/>
        <v>3</v>
      </c>
      <c r="I125" s="232">
        <f xml:space="preserve"> F125 / E125 - 1</f>
        <v>-0.11137973177001403</v>
      </c>
      <c r="J125" s="228">
        <f xml:space="preserve"> IF( OR( ISBLANK( E125 ), ISBLANK( F125 ) ), 0, IFERROR( H125 - G125, 0 ) )</f>
        <v>1</v>
      </c>
      <c r="L125" s="46">
        <f xml:space="preserve"> VLOOKUP( $C125, CALCS│Outcomes!$C$80:$L$96, MATCH( L$121, CALCS│Outcomes!$C$2:$L$2, 0 ), 0 )</f>
        <v>150.72682935655575</v>
      </c>
      <c r="M125" s="46">
        <f xml:space="preserve"> VLOOKUP( $C125, CALCS│Outcomes!$C$80:$L$96, MATCH( M$121, CALCS│Outcomes!$C$2:$L$2, 0 ), 0 )</f>
        <v>146.55214708388806</v>
      </c>
      <c r="N125" s="228">
        <f t="shared" si="24"/>
        <v>2</v>
      </c>
      <c r="O125" s="228">
        <f t="shared" si="24"/>
        <v>2</v>
      </c>
      <c r="P125" s="232">
        <f xml:space="preserve"> M125 / L125 - 1</f>
        <v>-2.7697008492046038E-2</v>
      </c>
      <c r="Q125" s="228">
        <f xml:space="preserve"> IF( OR( ISBLANK( L125 ), ISBLANK( M125 ) ), 0, IFERROR( O125 - N125, 0 ) )</f>
        <v>0</v>
      </c>
      <c r="S125" s="46">
        <f xml:space="preserve"> VLOOKUP( $C125, CALCS│Outcomes!$C$150:$L$166, MATCH( S$121, CALCS│Outcomes!$C$2:$L$2, 0 ), 0 )</f>
        <v>15.016666666666664</v>
      </c>
      <c r="T125" s="46">
        <f xml:space="preserve"> VLOOKUP( $C125, CALCS│Outcomes!$C$150:$L$166, MATCH( T$121, CALCS│Outcomes!$C$2:$L$2, 0 ), 0 )</f>
        <v>9.2833333333333332</v>
      </c>
      <c r="U125" s="228">
        <f t="shared" si="25"/>
        <v>1</v>
      </c>
      <c r="V125" s="228">
        <f t="shared" si="25"/>
        <v>2</v>
      </c>
      <c r="W125" s="232">
        <f xml:space="preserve"> T125 / S125 - 1</f>
        <v>-0.38179800221975568</v>
      </c>
      <c r="X125" s="228">
        <f xml:space="preserve"> IF( OR( ISBLANK( S125 ), ISBLANK( T125 ) ), 0, IFERROR( V125 - U125, 0 ) )</f>
        <v>1</v>
      </c>
      <c r="Z125" s="46">
        <f xml:space="preserve"> VLOOKUP( $C125, CALCS│Outcomes!$C$220:$L$236, MATCH( Z$121, CALCS│Outcomes!$C$2:$L$2, 0 ), 0 )</f>
        <v>1.69</v>
      </c>
      <c r="AA125" s="46">
        <f xml:space="preserve"> VLOOKUP( $C125, CALCS│Outcomes!$C$220:$L$236, MATCH( AA$121, CALCS│Outcomes!$C$2:$L$2, 0 ), 0 )</f>
        <v>1.46</v>
      </c>
      <c r="AB125" s="228">
        <f t="shared" si="26"/>
        <v>1</v>
      </c>
      <c r="AC125" s="228">
        <f t="shared" si="26"/>
        <v>2</v>
      </c>
      <c r="AD125" s="232">
        <f xml:space="preserve"> AA125 / Z125 - 1</f>
        <v>-0.13609467455621305</v>
      </c>
      <c r="AE125" s="228">
        <f xml:space="preserve"> IF( OR( ISBLANK( Z125 ), ISBLANK( AA125 ) ), 0, IFERROR( AC125 - AB125, 0 ) )</f>
        <v>1</v>
      </c>
      <c r="AG125" s="100" t="str">
        <f xml:space="preserve"> _xlfn.IFNA( VLOOKUP( $C125, CALCS│Outcomes!$C$301:$L$311, MATCH( AG$121, CALCS│Outcomes!$C$2:$L$2, 0 ), 0 ), "-" )</f>
        <v>-</v>
      </c>
      <c r="AH125" s="100" t="str">
        <f xml:space="preserve"> _xlfn.IFNA( VLOOKUP( $C125, CALCS│Outcomes!$C$301:$L$311, MATCH( AH$121, CALCS│Outcomes!$C$2:$L$2, 0 ), 0 ), "-" )</f>
        <v>-</v>
      </c>
      <c r="AI125" s="230" t="str">
        <f t="shared" si="27"/>
        <v>-</v>
      </c>
      <c r="AJ125" s="230" t="str">
        <f t="shared" si="27"/>
        <v>-</v>
      </c>
      <c r="AK125" s="242" t="str">
        <f xml:space="preserve"> IFERROR( AH125 / AG125 - 1, "-" )</f>
        <v>-</v>
      </c>
      <c r="AL125" s="228">
        <f xml:space="preserve"> IF( OR( ISBLANK( AG125 ), ISBLANK( AH125 ) ), 0, IFERROR( AJ125 - AI125, 0 ) )</f>
        <v>0</v>
      </c>
      <c r="AN125" s="101" t="str">
        <f xml:space="preserve"> _xlfn.IFNA( VLOOKUP( $C125, CALCS│Outcomes!$C$320:$L$330, MATCH( AN$121, CALCS│Outcomes!$C$2:$L$2, 0 ), 0 ), "-" )</f>
        <v>-</v>
      </c>
      <c r="AO125" s="101" t="str">
        <f xml:space="preserve"> _xlfn.IFNA( VLOOKUP( $C125, CALCS│Outcomes!$C$320:$L$330, MATCH( AO$121, CALCS│Outcomes!$C$2:$L$2, 0 ), 0 ), "-" )</f>
        <v>-</v>
      </c>
      <c r="AP125" s="230" t="str">
        <f t="shared" si="28"/>
        <v>-</v>
      </c>
      <c r="AQ125" s="230" t="str">
        <f t="shared" si="28"/>
        <v>-</v>
      </c>
      <c r="AR125" s="242" t="str">
        <f xml:space="preserve"> IFERROR( AO125 / AN125 - 1, "-" )</f>
        <v>-</v>
      </c>
      <c r="AS125" s="228">
        <f xml:space="preserve"> IF( OR( ISBLANK( AN125 ), ISBLANK( AO125 ) ), 0, IFERROR( AQ125 - AP125, 0 ) )</f>
        <v>0</v>
      </c>
    </row>
    <row r="126" spans="2:46" outlineLevel="1" x14ac:dyDescent="0.25">
      <c r="C126" s="8" t="s">
        <v>114</v>
      </c>
      <c r="E126" s="46">
        <f xml:space="preserve"> VLOOKUP( $C126, CALCS│Outcomes!$C$55:$L$71, MATCH( E$121, CALCS│Outcomes!$C$2:$L$2, 0 ), 0 )</f>
        <v>9.8172656793128148</v>
      </c>
      <c r="F126" s="46">
        <f xml:space="preserve"> VLOOKUP( $C126, CALCS│Outcomes!$C$55:$L$71, MATCH( F$121, CALCS│Outcomes!$C$2:$L$2, 0 ), 0 )</f>
        <v>9.5215338889212653</v>
      </c>
      <c r="G126" s="228">
        <f t="shared" si="23"/>
        <v>1</v>
      </c>
      <c r="H126" s="228">
        <f t="shared" si="23"/>
        <v>1</v>
      </c>
      <c r="I126" s="232">
        <f xml:space="preserve"> F126 / E126 - 1</f>
        <v>-3.0123641353082986E-2</v>
      </c>
      <c r="J126" s="228">
        <f xml:space="preserve"> IF( OR( ISBLANK( E126 ), ISBLANK( F126 ) ), 0, IFERROR( H126 - G126, 0 ) )</f>
        <v>0</v>
      </c>
      <c r="L126" s="46">
        <f xml:space="preserve"> VLOOKUP( $C126, CALCS│Outcomes!$C$80:$L$96, MATCH( L$121, CALCS│Outcomes!$C$2:$L$2, 0 ), 0 )</f>
        <v>136.40704019243358</v>
      </c>
      <c r="M126" s="46">
        <f xml:space="preserve"> VLOOKUP( $C126, CALCS│Outcomes!$C$80:$L$96, MATCH( M$121, CALCS│Outcomes!$C$2:$L$2, 0 ), 0 )</f>
        <v>128.56773141287647</v>
      </c>
      <c r="N126" s="228">
        <f t="shared" si="24"/>
        <v>3</v>
      </c>
      <c r="O126" s="228">
        <f t="shared" si="24"/>
        <v>3</v>
      </c>
      <c r="P126" s="232">
        <f xml:space="preserve"> M126 / L126 - 1</f>
        <v>-5.7469971993366009E-2</v>
      </c>
      <c r="Q126" s="228">
        <f xml:space="preserve"> IF( OR( ISBLANK( L126 ), ISBLANK( M126 ) ), 0, IFERROR( O126 - N126, 0 ) )</f>
        <v>0</v>
      </c>
      <c r="S126" s="46">
        <f xml:space="preserve"> VLOOKUP( $C126, CALCS│Outcomes!$C$150:$L$166, MATCH( S$121, CALCS│Outcomes!$C$2:$L$2, 0 ), 0 )</f>
        <v>7.15</v>
      </c>
      <c r="T126" s="46">
        <f xml:space="preserve"> VLOOKUP( $C126, CALCS│Outcomes!$C$150:$L$166, MATCH( T$121, CALCS│Outcomes!$C$2:$L$2, 0 ), 0 )</f>
        <v>3.35</v>
      </c>
      <c r="U126" s="228">
        <f t="shared" si="25"/>
        <v>3</v>
      </c>
      <c r="V126" s="228">
        <f t="shared" si="25"/>
        <v>3</v>
      </c>
      <c r="W126" s="232">
        <f xml:space="preserve"> T126 / S126 - 1</f>
        <v>-0.53146853146853146</v>
      </c>
      <c r="X126" s="228">
        <f xml:space="preserve"> IF( OR( ISBLANK( S126 ), ISBLANK( T126 ) ), 0, IFERROR( V126 - U126, 0 ) )</f>
        <v>0</v>
      </c>
      <c r="Z126" s="46">
        <f xml:space="preserve"> VLOOKUP( $C126, CALCS│Outcomes!$C$220:$L$236, MATCH( Z$121, CALCS│Outcomes!$C$2:$L$2, 0 ), 0 )</f>
        <v>1.5069135802469136</v>
      </c>
      <c r="AA126" s="46">
        <f xml:space="preserve"> VLOOKUP( $C126, CALCS│Outcomes!$C$220:$L$236, MATCH( AA$121, CALCS│Outcomes!$C$2:$L$2, 0 ), 0 )</f>
        <v>1.1845630767872126</v>
      </c>
      <c r="AB126" s="228">
        <f t="shared" si="26"/>
        <v>2</v>
      </c>
      <c r="AC126" s="228">
        <f t="shared" si="26"/>
        <v>2</v>
      </c>
      <c r="AD126" s="232">
        <f xml:space="preserve"> AA126 / Z126 - 1</f>
        <v>-0.21391439275959179</v>
      </c>
      <c r="AE126" s="228">
        <f xml:space="preserve"> IF( OR( ISBLANK( Z126 ), ISBLANK( AA126 ) ), 0, IFERROR( AC126 - AB126, 0 ) )</f>
        <v>0</v>
      </c>
      <c r="AG126" s="100" t="str">
        <f xml:space="preserve"> _xlfn.IFNA( VLOOKUP( $C126, CALCS│Outcomes!$C$301:$L$311, MATCH( AG$121, CALCS│Outcomes!$C$2:$L$2, 0 ), 0 ), "-" )</f>
        <v>-</v>
      </c>
      <c r="AH126" s="100" t="str">
        <f xml:space="preserve"> _xlfn.IFNA( VLOOKUP( $C126, CALCS│Outcomes!$C$301:$L$311, MATCH( AH$121, CALCS│Outcomes!$C$2:$L$2, 0 ), 0 ), "-" )</f>
        <v>-</v>
      </c>
      <c r="AI126" s="230" t="str">
        <f t="shared" si="27"/>
        <v>-</v>
      </c>
      <c r="AJ126" s="230" t="str">
        <f t="shared" si="27"/>
        <v>-</v>
      </c>
      <c r="AK126" s="242" t="str">
        <f xml:space="preserve"> IFERROR( AH126 / AG126 - 1, "-" )</f>
        <v>-</v>
      </c>
      <c r="AL126" s="228">
        <f xml:space="preserve"> IF( OR( ISBLANK( AG126 ), ISBLANK( AH126 ) ), 0, IFERROR( AJ126 - AI126, 0 ) )</f>
        <v>0</v>
      </c>
      <c r="AN126" s="101" t="str">
        <f xml:space="preserve"> _xlfn.IFNA( VLOOKUP( $C126, CALCS│Outcomes!$C$320:$L$330, MATCH( AN$121, CALCS│Outcomes!$C$2:$L$2, 0 ), 0 ), "-" )</f>
        <v>-</v>
      </c>
      <c r="AO126" s="101" t="str">
        <f xml:space="preserve"> _xlfn.IFNA( VLOOKUP( $C126, CALCS│Outcomes!$C$320:$L$330, MATCH( AO$121, CALCS│Outcomes!$C$2:$L$2, 0 ), 0 ), "-" )</f>
        <v>-</v>
      </c>
      <c r="AP126" s="230" t="str">
        <f t="shared" si="28"/>
        <v>-</v>
      </c>
      <c r="AQ126" s="230" t="str">
        <f t="shared" si="28"/>
        <v>-</v>
      </c>
      <c r="AR126" s="242" t="str">
        <f xml:space="preserve"> IFERROR( AO126 / AN126 - 1, "-" )</f>
        <v>-</v>
      </c>
      <c r="AS126" s="228">
        <f xml:space="preserve"> IF( OR( ISBLANK( AN126 ), ISBLANK( AO126 ) ), 0, IFERROR( AQ126 - AP126, 0 ) )</f>
        <v>0</v>
      </c>
    </row>
    <row r="127" spans="2:46" outlineLevel="1" x14ac:dyDescent="0.25">
      <c r="H127" s="241"/>
      <c r="I127" s="241"/>
      <c r="J127" s="241"/>
      <c r="L127" s="83"/>
      <c r="M127" s="83"/>
      <c r="N127" s="308"/>
      <c r="O127" s="308"/>
      <c r="P127" s="308"/>
      <c r="Q127" s="241"/>
      <c r="U127" s="241"/>
      <c r="V127" s="241"/>
      <c r="W127" s="241"/>
      <c r="X127" s="241"/>
      <c r="AB127" s="241"/>
      <c r="AC127" s="241"/>
      <c r="AD127" s="241"/>
      <c r="AE127" s="241"/>
      <c r="AI127" s="241"/>
      <c r="AJ127" s="241"/>
      <c r="AK127" s="241"/>
      <c r="AL127" s="241"/>
      <c r="AP127" s="241"/>
      <c r="AQ127" s="241"/>
      <c r="AR127" s="241"/>
      <c r="AS127" s="241"/>
    </row>
    <row r="128" spans="2:46" outlineLevel="1" x14ac:dyDescent="0.25">
      <c r="C128" s="8" t="s">
        <v>80</v>
      </c>
      <c r="E128" s="46">
        <f xml:space="preserve"> VLOOKUP( $C128, CALCS│Outcomes!$C$55:$L$71, MATCH( E$121, CALCS│Outcomes!$C$2:$L$2, 0 ), 0 )</f>
        <v>4.9564129941698409</v>
      </c>
      <c r="F128" s="46">
        <f xml:space="preserve"> VLOOKUP( $C128, CALCS│Outcomes!$C$55:$L$71, MATCH( F$121, CALCS│Outcomes!$C$2:$L$2, 0 ), 0 )</f>
        <v>4.7118241235888298</v>
      </c>
      <c r="G128" s="228">
        <f t="shared" ref="G128:G136" si="29">IF( E128 &lt;= E$143, 3, IF( E128 &gt;= E$144, 1, 2 ) )</f>
        <v>3</v>
      </c>
      <c r="H128" s="228">
        <f t="shared" ref="H128:H136" si="30">IF( F128 &lt;= F$143, 3, IF( F128 &gt;= F$144, 1, 2 ) )</f>
        <v>3</v>
      </c>
      <c r="I128" s="232">
        <f t="shared" ref="I128:I136" si="31" xml:space="preserve"> F128 / E128 - 1</f>
        <v>-4.9347960080953213E-2</v>
      </c>
      <c r="J128" s="228">
        <f t="shared" ref="J128:J136" si="32" xml:space="preserve"> IF( OR( ISBLANK( E128 ), ISBLANK( F128 ) ), 0, IFERROR( H128 - G128, 0 ) )</f>
        <v>0</v>
      </c>
      <c r="L128" s="46">
        <f xml:space="preserve"> VLOOKUP( $C128, CALCS│Outcomes!$C$80:$L$96, MATCH( L$121, CALCS│Outcomes!$C$2:$L$2, 0 ), 0 )</f>
        <v>135.70045327267459</v>
      </c>
      <c r="M128" s="46">
        <f xml:space="preserve"> VLOOKUP( $C128, CALCS│Outcomes!$C$80:$L$96, MATCH( M$121, CALCS│Outcomes!$C$2:$L$2, 0 ), 0 )</f>
        <v>134.821642266841</v>
      </c>
      <c r="N128" s="228">
        <f t="shared" ref="N128:N136" si="33">IF( L128 &lt;= L$143, 3, IF( L128 &gt;= L$144, 1, 2 ) )</f>
        <v>3</v>
      </c>
      <c r="O128" s="228">
        <f t="shared" ref="O128:O136" si="34">IF( M128 &lt;= M$143, 3, IF( M128 &gt;= M$144, 1, 2 ) )</f>
        <v>3</v>
      </c>
      <c r="P128" s="232">
        <f t="shared" ref="P128:P136" si="35" xml:space="preserve"> M128 / L128 - 1</f>
        <v>-6.4761095828304027E-3</v>
      </c>
      <c r="Q128" s="228">
        <f t="shared" ref="Q128:Q136" si="36" xml:space="preserve"> IF( OR( ISBLANK( L128 ), ISBLANK( M128 ) ), 0, IFERROR( O128 - N128, 0 ) )</f>
        <v>0</v>
      </c>
      <c r="S128" s="46">
        <f xml:space="preserve"> VLOOKUP( $C128, CALCS│Outcomes!$C$150:$L$166, MATCH( S$121, CALCS│Outcomes!$C$2:$L$2, 0 ), 0 )</f>
        <v>8.73</v>
      </c>
      <c r="T128" s="46">
        <f xml:space="preserve"> VLOOKUP( $C128, CALCS│Outcomes!$C$150:$L$166, MATCH( T$121, CALCS│Outcomes!$C$2:$L$2, 0 ), 0 )</f>
        <v>18.649999999999999</v>
      </c>
      <c r="U128" s="228">
        <f>IF( S128 &lt;= S$143, 3, IF( S128 &gt;= S$144, 1, 2 ) )</f>
        <v>2</v>
      </c>
      <c r="V128" s="228">
        <f>IF( T128 &lt;= T$143, 3, IF( T128 &gt;= T$144, 1, 2 ) )</f>
        <v>1</v>
      </c>
      <c r="W128" s="232">
        <f t="shared" ref="W128:W136" si="37" xml:space="preserve"> T128 / S128 - 1</f>
        <v>1.1363115693012595</v>
      </c>
      <c r="X128" s="228">
        <f t="shared" ref="X128:X136" si="38" xml:space="preserve"> IF( OR( ISBLANK( S128 ), ISBLANK( T128 ) ), 0, IFERROR( V128 - U128, 0 ) )</f>
        <v>-1</v>
      </c>
      <c r="Z128" s="46">
        <f xml:space="preserve"> VLOOKUP( $C128, CALCS│Outcomes!$C$220:$L$236, MATCH( Z$121, CALCS│Outcomes!$C$2:$L$2, 0 ), 0 )</f>
        <v>1.18</v>
      </c>
      <c r="AA128" s="46">
        <f xml:space="preserve"> VLOOKUP( $C128, CALCS│Outcomes!$C$220:$L$236, MATCH( AA$121, CALCS│Outcomes!$C$2:$L$2, 0 ), 0 )</f>
        <v>1.1499999999999999</v>
      </c>
      <c r="AB128" s="228">
        <f t="shared" ref="AB128:AB136" si="39">IF( Z128 &lt;= Z$143, 3, IF( Z128 &gt;= Z$144, 1, 2 ) )</f>
        <v>2</v>
      </c>
      <c r="AC128" s="228">
        <f t="shared" ref="AC128:AC136" si="40">IF( AA128 &lt;= AA$143, 3, IF( AA128 &gt;= AA$144, 1, 2 ) )</f>
        <v>2</v>
      </c>
      <c r="AD128" s="232">
        <f t="shared" ref="AD128:AD136" si="41" xml:space="preserve"> AA128 / Z128 - 1</f>
        <v>-2.5423728813559365E-2</v>
      </c>
      <c r="AE128" s="228">
        <f t="shared" ref="AE128:AE136" si="42" xml:space="preserve"> IF( OR( ISBLANK( Z128 ), ISBLANK( AA128 ) ), 0, IFERROR( AC128 - AB128, 0 ) )</f>
        <v>0</v>
      </c>
      <c r="AG128" s="100">
        <f xml:space="preserve"> _xlfn.IFNA( VLOOKUP( $C128, CALCS│Outcomes!$C$301:$L$311, MATCH( AG$121, CALCS│Outcomes!$C$2:$L$2, 0 ), 0 ), "-" )</f>
        <v>1.2251569866726564</v>
      </c>
      <c r="AH128" s="100">
        <f xml:space="preserve"> _xlfn.IFNA( VLOOKUP( $C128, CALCS│Outcomes!$C$301:$L$311, MATCH( AH$121, CALCS│Outcomes!$C$2:$L$2, 0 ), 0 ), "-" )</f>
        <v>1.052838627226478</v>
      </c>
      <c r="AI128" s="228">
        <f t="shared" ref="AI128:AI136" si="43" xml:space="preserve"> IF( AG128 = "-", "-", IF( AG128 &lt;= AG$143, 3, IF( AG128 &gt;= AG$144, 1, 2 ) ) )</f>
        <v>3</v>
      </c>
      <c r="AJ128" s="228">
        <f t="shared" ref="AJ128:AJ136" si="44" xml:space="preserve"> IF( AH128 = "-", "-", IF( AH128 &lt;= AH$143, 3, IF( AH128 &gt;= AH$144, 1, 2 ) ) )</f>
        <v>3</v>
      </c>
      <c r="AK128" s="242">
        <f t="shared" ref="AK128:AK136" si="45" xml:space="preserve"> IFERROR( AH128 / AG128 - 1, "-" )</f>
        <v>-0.14065002389136216</v>
      </c>
      <c r="AL128" s="228">
        <f t="shared" ref="AL128:AL136" si="46" xml:space="preserve"> IF( OR( ISBLANK( AG128 ), ISBLANK( AH128 ) ), 0, IFERROR( AJ128 - AI128, 0 ) )</f>
        <v>0</v>
      </c>
      <c r="AN128" s="101">
        <f xml:space="preserve"> _xlfn.IFNA( VLOOKUP( $C128, CALCS│Outcomes!$C$320:$L$330, MATCH( AN$121, CALCS│Outcomes!$C$2:$L$2, 0 ), 0 ), "-" )</f>
        <v>25</v>
      </c>
      <c r="AO128" s="101">
        <f xml:space="preserve"> _xlfn.IFNA( VLOOKUP( $C128, CALCS│Outcomes!$C$320:$L$330, MATCH( AO$121, CALCS│Outcomes!$C$2:$L$2, 0 ), 0 ), "-" )</f>
        <v>35</v>
      </c>
      <c r="AP128" s="228">
        <f t="shared" ref="AP128:AP136" si="47" xml:space="preserve"> IF( AN128 = "-", "-", IF( AN128 &lt;= AN$143, 3, IF( AN128 &gt;= AN$144, 1, 2 ) ) )</f>
        <v>2</v>
      </c>
      <c r="AQ128" s="228">
        <f t="shared" ref="AQ128:AQ136" si="48" xml:space="preserve"> IF( AO128 = "-", "-", IF( AO128 &lt;= AO$143, 3, IF( AO128 &gt;= AO$144, 1, 2 ) ) )</f>
        <v>2</v>
      </c>
      <c r="AR128" s="242">
        <f t="shared" ref="AR128:AR136" si="49" xml:space="preserve"> IFERROR( AO128 / AN128 - 1, "-" )</f>
        <v>0.39999999999999991</v>
      </c>
      <c r="AS128" s="228">
        <f t="shared" ref="AS128:AS136" si="50" xml:space="preserve"> IF( OR( ISBLANK( AN128 ), ISBLANK( AO128 ) ), 0, IFERROR( AQ128 - AP128, 0 ) )</f>
        <v>0</v>
      </c>
    </row>
    <row r="129" spans="3:45" outlineLevel="1" x14ac:dyDescent="0.25">
      <c r="C129" s="8" t="s">
        <v>82</v>
      </c>
      <c r="E129" s="46">
        <f xml:space="preserve"> VLOOKUP( $C129, CALCS│Outcomes!$C$55:$L$71, MATCH( E$121, CALCS│Outcomes!$C$2:$L$2, 0 ), 0 )</f>
        <v>6.132887673452851</v>
      </c>
      <c r="F129" s="46">
        <f xml:space="preserve"> VLOOKUP( $C129, CALCS│Outcomes!$C$55:$L$71, MATCH( F$121, CALCS│Outcomes!$C$2:$L$2, 0 ), 0 )</f>
        <v>6.0558748656854187</v>
      </c>
      <c r="G129" s="228">
        <f t="shared" si="29"/>
        <v>2</v>
      </c>
      <c r="H129" s="228">
        <f t="shared" si="30"/>
        <v>2</v>
      </c>
      <c r="I129" s="232">
        <f t="shared" si="31"/>
        <v>-1.2557348490303211E-2</v>
      </c>
      <c r="J129" s="228">
        <f t="shared" si="32"/>
        <v>0</v>
      </c>
      <c r="L129" s="46">
        <f xml:space="preserve"> VLOOKUP( $C129, CALCS│Outcomes!$C$80:$L$96, MATCH( L$121, CALCS│Outcomes!$C$2:$L$2, 0 ), 0 )</f>
        <v>157.33342721582878</v>
      </c>
      <c r="M129" s="46">
        <f xml:space="preserve"> VLOOKUP( $C129, CALCS│Outcomes!$C$80:$L$96, MATCH( M$121, CALCS│Outcomes!$C$2:$L$2, 0 ), 0 )</f>
        <v>159.67466470701106</v>
      </c>
      <c r="N129" s="228">
        <f t="shared" si="33"/>
        <v>1</v>
      </c>
      <c r="O129" s="228">
        <f t="shared" si="34"/>
        <v>1</v>
      </c>
      <c r="P129" s="232">
        <f t="shared" si="35"/>
        <v>1.4880737886492357E-2</v>
      </c>
      <c r="Q129" s="228">
        <f t="shared" si="36"/>
        <v>0</v>
      </c>
      <c r="S129" s="46">
        <f xml:space="preserve"> VLOOKUP( $C129, CALCS│Outcomes!$C$150:$L$166, MATCH( S$121, CALCS│Outcomes!$C$2:$L$2, 0 ), 0 )</f>
        <v>16</v>
      </c>
      <c r="T129" s="46">
        <f xml:space="preserve"> VLOOKUP( $C129, CALCS│Outcomes!$C$150:$L$166, MATCH( T$121, CALCS│Outcomes!$C$2:$L$2, 0 ), 0 )</f>
        <v>14.7</v>
      </c>
      <c r="U129" s="228">
        <f>IF( S129 &lt;= S$143, 3, IF( S129 &gt;= S$144, 1, 2 ) )</f>
        <v>1</v>
      </c>
      <c r="V129" s="228">
        <f>IF( T129 &lt;= T$143, 3, IF( T129 &gt;= T$144, 1, 2 ) )</f>
        <v>1</v>
      </c>
      <c r="W129" s="232">
        <f t="shared" si="37"/>
        <v>-8.1250000000000044E-2</v>
      </c>
      <c r="X129" s="228">
        <f t="shared" si="38"/>
        <v>0</v>
      </c>
      <c r="Z129" s="46">
        <f xml:space="preserve"> VLOOKUP( $C129, CALCS│Outcomes!$C$220:$L$236, MATCH( Z$121, CALCS│Outcomes!$C$2:$L$2, 0 ), 0 )</f>
        <v>3.42</v>
      </c>
      <c r="AA129" s="46">
        <f xml:space="preserve"> VLOOKUP( $C129, CALCS│Outcomes!$C$220:$L$236, MATCH( AA$121, CALCS│Outcomes!$C$2:$L$2, 0 ), 0 )</f>
        <v>2.96</v>
      </c>
      <c r="AB129" s="228">
        <f t="shared" si="39"/>
        <v>1</v>
      </c>
      <c r="AC129" s="228">
        <f t="shared" si="40"/>
        <v>1</v>
      </c>
      <c r="AD129" s="232">
        <f t="shared" si="41"/>
        <v>-0.13450292397660812</v>
      </c>
      <c r="AE129" s="228">
        <f t="shared" si="42"/>
        <v>0</v>
      </c>
      <c r="AG129" s="100">
        <f xml:space="preserve"> _xlfn.IFNA( VLOOKUP( $C129, CALCS│Outcomes!$C$301:$L$311, MATCH( AG$121, CALCS│Outcomes!$C$2:$L$2, 0 ), 0 ), "-" )</f>
        <v>1.5156170275801151</v>
      </c>
      <c r="AH129" s="100">
        <f xml:space="preserve"> _xlfn.IFNA( VLOOKUP( $C129, CALCS│Outcomes!$C$301:$L$311, MATCH( AH$121, CALCS│Outcomes!$C$2:$L$2, 0 ), 0 ), "-" )</f>
        <v>1.4750753244482808</v>
      </c>
      <c r="AI129" s="230">
        <f t="shared" si="43"/>
        <v>2</v>
      </c>
      <c r="AJ129" s="230">
        <f t="shared" si="44"/>
        <v>3</v>
      </c>
      <c r="AK129" s="242">
        <f t="shared" si="45"/>
        <v>-2.6749305658411937E-2</v>
      </c>
      <c r="AL129" s="228">
        <f t="shared" si="46"/>
        <v>1</v>
      </c>
      <c r="AN129" s="101">
        <f xml:space="preserve"> _xlfn.IFNA( VLOOKUP( $C129, CALCS│Outcomes!$C$320:$L$330, MATCH( AN$121, CALCS│Outcomes!$C$2:$L$2, 0 ), 0 ), "-" )</f>
        <v>27.58</v>
      </c>
      <c r="AO129" s="101">
        <f xml:space="preserve"> _xlfn.IFNA( VLOOKUP( $C129, CALCS│Outcomes!$C$320:$L$330, MATCH( AO$121, CALCS│Outcomes!$C$2:$L$2, 0 ), 0 ), "-" )</f>
        <v>25.24</v>
      </c>
      <c r="AP129" s="230">
        <f t="shared" si="47"/>
        <v>2</v>
      </c>
      <c r="AQ129" s="230">
        <f t="shared" si="48"/>
        <v>3</v>
      </c>
      <c r="AR129" s="242">
        <f t="shared" si="49"/>
        <v>-8.4844089920232069E-2</v>
      </c>
      <c r="AS129" s="228">
        <f t="shared" si="50"/>
        <v>1</v>
      </c>
    </row>
    <row r="130" spans="3:45" outlineLevel="1" x14ac:dyDescent="0.25">
      <c r="C130" s="8" t="s">
        <v>89</v>
      </c>
      <c r="E130" s="46">
        <f xml:space="preserve"> VLOOKUP( $C130, CALCS│Outcomes!$C$55:$L$71, MATCH( E$121, CALCS│Outcomes!$C$2:$L$2, 0 ), 0 )</f>
        <v>9.0647717467195612</v>
      </c>
      <c r="F130" s="46">
        <f xml:space="preserve"> VLOOKUP( $C130, CALCS│Outcomes!$C$55:$L$71, MATCH( F$121, CALCS│Outcomes!$C$2:$L$2, 0 ), 0 )</f>
        <v>8.5953317154808886</v>
      </c>
      <c r="G130" s="228">
        <f t="shared" si="29"/>
        <v>2</v>
      </c>
      <c r="H130" s="228">
        <f t="shared" si="30"/>
        <v>1</v>
      </c>
      <c r="I130" s="232">
        <f t="shared" si="31"/>
        <v>-5.1787297502395191E-2</v>
      </c>
      <c r="J130" s="228">
        <f t="shared" si="32"/>
        <v>-1</v>
      </c>
      <c r="L130" s="46">
        <f xml:space="preserve"> VLOOKUP( $C130, CALCS│Outcomes!$C$80:$L$96, MATCH( L$121, CALCS│Outcomes!$C$2:$L$2, 0 ), 0 )</f>
        <v>130.97376257439635</v>
      </c>
      <c r="M130" s="46">
        <f xml:space="preserve"> VLOOKUP( $C130, CALCS│Outcomes!$C$80:$L$96, MATCH( M$121, CALCS│Outcomes!$C$2:$L$2, 0 ), 0 )</f>
        <v>128.52244525764453</v>
      </c>
      <c r="N130" s="228">
        <f t="shared" si="33"/>
        <v>3</v>
      </c>
      <c r="O130" s="228">
        <f t="shared" si="34"/>
        <v>3</v>
      </c>
      <c r="P130" s="232">
        <f t="shared" si="35"/>
        <v>-1.8716094495333735E-2</v>
      </c>
      <c r="Q130" s="228">
        <f t="shared" si="36"/>
        <v>0</v>
      </c>
      <c r="S130" s="226"/>
      <c r="T130" s="46">
        <f xml:space="preserve"> VLOOKUP( $C130, CALCS│Outcomes!$C$150:$L$166, MATCH( T$121, CALCS│Outcomes!$C$2:$L$2, 0 ), 0 )</f>
        <v>7.25</v>
      </c>
      <c r="U130" s="226"/>
      <c r="V130" s="228">
        <f t="shared" ref="V130:V136" si="51">IF( T130 &lt;= T$143, 3, IF( T130 &gt;= T$144, 1, 2 ) )</f>
        <v>3</v>
      </c>
      <c r="W130" s="232" t="e">
        <f t="shared" si="37"/>
        <v>#DIV/0!</v>
      </c>
      <c r="X130" s="228">
        <f t="shared" si="38"/>
        <v>0</v>
      </c>
      <c r="Z130" s="226"/>
      <c r="AA130" s="46">
        <f xml:space="preserve"> VLOOKUP( $C130, CALCS│Outcomes!$C$220:$L$236, MATCH( AA$121, CALCS│Outcomes!$C$2:$L$2, 0 ), 0 )</f>
        <v>1.4</v>
      </c>
      <c r="AB130" s="228">
        <f t="shared" si="39"/>
        <v>3</v>
      </c>
      <c r="AC130" s="228">
        <f t="shared" si="40"/>
        <v>2</v>
      </c>
      <c r="AD130" s="232" t="e">
        <f t="shared" si="41"/>
        <v>#DIV/0!</v>
      </c>
      <c r="AE130" s="228">
        <f t="shared" si="42"/>
        <v>0</v>
      </c>
      <c r="AG130" s="226"/>
      <c r="AH130" s="100">
        <f xml:space="preserve"> _xlfn.IFNA( VLOOKUP( $C130, CALCS│Outcomes!$C$301:$L$311, MATCH( AH$121, CALCS│Outcomes!$C$2:$L$2, 0 ), 0 ), "-" )</f>
        <v>2.1995151059594815</v>
      </c>
      <c r="AI130" s="230">
        <f t="shared" si="43"/>
        <v>3</v>
      </c>
      <c r="AJ130" s="230">
        <f t="shared" si="44"/>
        <v>2</v>
      </c>
      <c r="AK130" s="242" t="str">
        <f t="shared" si="45"/>
        <v>-</v>
      </c>
      <c r="AL130" s="228">
        <f t="shared" si="46"/>
        <v>0</v>
      </c>
      <c r="AN130" s="226"/>
      <c r="AO130" s="101">
        <f xml:space="preserve"> _xlfn.IFNA( VLOOKUP( $C130, CALCS│Outcomes!$C$320:$L$330, MATCH( AO$121, CALCS│Outcomes!$C$2:$L$2, 0 ), 0 ), "-" )</f>
        <v>26</v>
      </c>
      <c r="AP130" s="230">
        <f t="shared" si="47"/>
        <v>3</v>
      </c>
      <c r="AQ130" s="230">
        <f t="shared" si="48"/>
        <v>2</v>
      </c>
      <c r="AR130" s="242" t="str">
        <f t="shared" si="49"/>
        <v>-</v>
      </c>
      <c r="AS130" s="228">
        <f t="shared" si="50"/>
        <v>0</v>
      </c>
    </row>
    <row r="131" spans="3:45" outlineLevel="1" x14ac:dyDescent="0.25">
      <c r="C131" s="8" t="s">
        <v>91</v>
      </c>
      <c r="E131" s="46">
        <f xml:space="preserve"> VLOOKUP( $C131, CALCS│Outcomes!$C$55:$L$71, MATCH( E$121, CALCS│Outcomes!$C$2:$L$2, 0 ), 0 )</f>
        <v>5.6632236631823778</v>
      </c>
      <c r="F131" s="46">
        <f xml:space="preserve"> VLOOKUP( $C131, CALCS│Outcomes!$C$55:$L$71, MATCH( F$121, CALCS│Outcomes!$C$2:$L$2, 0 ), 0 )</f>
        <v>5.7878107573147872</v>
      </c>
      <c r="G131" s="228">
        <f t="shared" si="29"/>
        <v>3</v>
      </c>
      <c r="H131" s="228">
        <f t="shared" si="30"/>
        <v>3</v>
      </c>
      <c r="I131" s="232">
        <f t="shared" si="31"/>
        <v>2.1999324332247827E-2</v>
      </c>
      <c r="J131" s="228">
        <f t="shared" si="32"/>
        <v>0</v>
      </c>
      <c r="L131" s="46">
        <f xml:space="preserve"> VLOOKUP( $C131, CALCS│Outcomes!$C$80:$L$96, MATCH( L$121, CALCS│Outcomes!$C$2:$L$2, 0 ), 0 )</f>
        <v>156.10599455023325</v>
      </c>
      <c r="M131" s="46">
        <f xml:space="preserve"> VLOOKUP( $C131, CALCS│Outcomes!$C$80:$L$96, MATCH( M$121, CALCS│Outcomes!$C$2:$L$2, 0 ), 0 )</f>
        <v>152.65384530719879</v>
      </c>
      <c r="N131" s="228">
        <f t="shared" si="33"/>
        <v>1</v>
      </c>
      <c r="O131" s="228">
        <f t="shared" si="34"/>
        <v>1</v>
      </c>
      <c r="P131" s="232">
        <f t="shared" si="35"/>
        <v>-2.2114136314756228E-2</v>
      </c>
      <c r="Q131" s="228">
        <f t="shared" si="36"/>
        <v>0</v>
      </c>
      <c r="S131" s="46">
        <f xml:space="preserve"> VLOOKUP( $C131, CALCS│Outcomes!$C$150:$L$166, MATCH( S$121, CALCS│Outcomes!$C$2:$L$2, 0 ), 0 )</f>
        <v>7.8795756149407836</v>
      </c>
      <c r="T131" s="46">
        <f xml:space="preserve"> VLOOKUP( $C131, CALCS│Outcomes!$C$150:$L$166, MATCH( T$121, CALCS│Outcomes!$C$2:$L$2, 0 ), 0 )</f>
        <v>9.7826519763273545</v>
      </c>
      <c r="U131" s="228">
        <f t="shared" ref="U131:U136" si="52">IF( S131 &lt;= S$143, 3, IF( S131 &gt;= S$144, 1, 2 ) )</f>
        <v>2</v>
      </c>
      <c r="V131" s="228">
        <f t="shared" si="51"/>
        <v>2</v>
      </c>
      <c r="W131" s="232">
        <f t="shared" si="37"/>
        <v>0.24152015976318197</v>
      </c>
      <c r="X131" s="228">
        <f t="shared" si="38"/>
        <v>0</v>
      </c>
      <c r="Z131" s="46">
        <f xml:space="preserve"> VLOOKUP( $C131, CALCS│Outcomes!$C$220:$L$236, MATCH( Z$121, CALCS│Outcomes!$C$2:$L$2, 0 ), 0 )</f>
        <v>2.4178379147778002</v>
      </c>
      <c r="AA131" s="46">
        <f xml:space="preserve"> VLOOKUP( $C131, CALCS│Outcomes!$C$220:$L$236, MATCH( AA$121, CALCS│Outcomes!$C$2:$L$2, 0 ), 0 )</f>
        <v>2.0920222761358622</v>
      </c>
      <c r="AB131" s="228">
        <f t="shared" si="39"/>
        <v>1</v>
      </c>
      <c r="AC131" s="228">
        <f t="shared" si="40"/>
        <v>1</v>
      </c>
      <c r="AD131" s="232">
        <f t="shared" si="41"/>
        <v>-0.13475495468515741</v>
      </c>
      <c r="AE131" s="228">
        <f t="shared" si="42"/>
        <v>0</v>
      </c>
      <c r="AG131" s="100">
        <f xml:space="preserve"> _xlfn.IFNA( VLOOKUP( $C131, CALCS│Outcomes!$C$301:$L$311, MATCH( AG$121, CALCS│Outcomes!$C$2:$L$2, 0 ), 0 ), "-" )</f>
        <v>1.2267715856836201</v>
      </c>
      <c r="AH131" s="100">
        <f xml:space="preserve"> _xlfn.IFNA( VLOOKUP( $C131, CALCS│Outcomes!$C$301:$L$311, MATCH( AH$121, CALCS│Outcomes!$C$2:$L$2, 0 ), 0 ), "-" )</f>
        <v>2.0906670011733866</v>
      </c>
      <c r="AI131" s="230">
        <f t="shared" si="43"/>
        <v>3</v>
      </c>
      <c r="AJ131" s="230">
        <f t="shared" si="44"/>
        <v>2</v>
      </c>
      <c r="AK131" s="242">
        <f t="shared" si="45"/>
        <v>0.70420233527691267</v>
      </c>
      <c r="AL131" s="228">
        <f t="shared" si="46"/>
        <v>-1</v>
      </c>
      <c r="AN131" s="101">
        <f xml:space="preserve"> _xlfn.IFNA( VLOOKUP( $C131, CALCS│Outcomes!$C$320:$L$330, MATCH( AN$121, CALCS│Outcomes!$C$2:$L$2, 0 ), 0 ), "-" )</f>
        <v>98</v>
      </c>
      <c r="AO131" s="101">
        <f xml:space="preserve"> _xlfn.IFNA( VLOOKUP( $C131, CALCS│Outcomes!$C$320:$L$330, MATCH( AO$121, CALCS│Outcomes!$C$2:$L$2, 0 ), 0 ), "-" )</f>
        <v>105</v>
      </c>
      <c r="AP131" s="230">
        <f t="shared" si="47"/>
        <v>1</v>
      </c>
      <c r="AQ131" s="230">
        <f t="shared" si="48"/>
        <v>1</v>
      </c>
      <c r="AR131" s="242">
        <f t="shared" si="49"/>
        <v>7.1428571428571397E-2</v>
      </c>
      <c r="AS131" s="228">
        <f t="shared" si="50"/>
        <v>0</v>
      </c>
    </row>
    <row r="132" spans="3:45" outlineLevel="1" x14ac:dyDescent="0.25">
      <c r="C132" s="8" t="s">
        <v>98</v>
      </c>
      <c r="E132" s="46">
        <f xml:space="preserve"> VLOOKUP( $C132, CALCS│Outcomes!$C$55:$L$71, MATCH( E$121, CALCS│Outcomes!$C$2:$L$2, 0 ), 0 )</f>
        <v>10.805577297917344</v>
      </c>
      <c r="F132" s="46">
        <f xml:space="preserve"> VLOOKUP( $C132, CALCS│Outcomes!$C$55:$L$71, MATCH( F$121, CALCS│Outcomes!$C$2:$L$2, 0 ), 0 )</f>
        <v>10.5257932123475</v>
      </c>
      <c r="G132" s="228">
        <f t="shared" si="29"/>
        <v>1</v>
      </c>
      <c r="H132" s="228">
        <f t="shared" si="30"/>
        <v>1</v>
      </c>
      <c r="I132" s="232">
        <f t="shared" si="31"/>
        <v>-2.5892562503233352E-2</v>
      </c>
      <c r="J132" s="228">
        <f t="shared" si="32"/>
        <v>0</v>
      </c>
      <c r="L132" s="46">
        <f xml:space="preserve"> VLOOKUP( $C132, CALCS│Outcomes!$C$80:$L$96, MATCH( L$121, CALCS│Outcomes!$C$2:$L$2, 0 ), 0 )</f>
        <v>143.73192189180452</v>
      </c>
      <c r="M132" s="46">
        <f xml:space="preserve"> VLOOKUP( $C132, CALCS│Outcomes!$C$80:$L$96, MATCH( M$121, CALCS│Outcomes!$C$2:$L$2, 0 ), 0 )</f>
        <v>141.24574168472867</v>
      </c>
      <c r="N132" s="228">
        <f t="shared" si="33"/>
        <v>2</v>
      </c>
      <c r="O132" s="228">
        <f t="shared" si="34"/>
        <v>2</v>
      </c>
      <c r="P132" s="232">
        <f t="shared" si="35"/>
        <v>-1.7297341984666037E-2</v>
      </c>
      <c r="Q132" s="228">
        <f t="shared" si="36"/>
        <v>0</v>
      </c>
      <c r="S132" s="46">
        <f xml:space="preserve"> VLOOKUP( $C132, CALCS│Outcomes!$C$150:$L$166, MATCH( S$121, CALCS│Outcomes!$C$2:$L$2, 0 ), 0 )</f>
        <v>9.1666666666666661</v>
      </c>
      <c r="T132" s="46">
        <f xml:space="preserve"> VLOOKUP( $C132, CALCS│Outcomes!$C$150:$L$166, MATCH( T$121, CALCS│Outcomes!$C$2:$L$2, 0 ), 0 )</f>
        <v>10.183333333333334</v>
      </c>
      <c r="U132" s="228">
        <f t="shared" si="52"/>
        <v>2</v>
      </c>
      <c r="V132" s="228">
        <f t="shared" si="51"/>
        <v>2</v>
      </c>
      <c r="W132" s="232">
        <f t="shared" si="37"/>
        <v>0.11090909090909107</v>
      </c>
      <c r="X132" s="228">
        <f t="shared" si="38"/>
        <v>0</v>
      </c>
      <c r="Z132" s="46">
        <f xml:space="preserve"> VLOOKUP( $C132, CALCS│Outcomes!$C$220:$L$236, MATCH( Z$121, CALCS│Outcomes!$C$2:$L$2, 0 ), 0 )</f>
        <v>2.06</v>
      </c>
      <c r="AA132" s="46">
        <f xml:space="preserve"> VLOOKUP( $C132, CALCS│Outcomes!$C$220:$L$236, MATCH( AA$121, CALCS│Outcomes!$C$2:$L$2, 0 ), 0 )</f>
        <v>1.93</v>
      </c>
      <c r="AB132" s="228">
        <f t="shared" si="39"/>
        <v>1</v>
      </c>
      <c r="AC132" s="228">
        <f t="shared" si="40"/>
        <v>1</v>
      </c>
      <c r="AD132" s="232">
        <f t="shared" si="41"/>
        <v>-6.3106796116504937E-2</v>
      </c>
      <c r="AE132" s="228">
        <f t="shared" si="42"/>
        <v>0</v>
      </c>
      <c r="AG132" s="100">
        <f xml:space="preserve"> _xlfn.IFNA( VLOOKUP( $C132, CALCS│Outcomes!$C$301:$L$311, MATCH( AG$121, CALCS│Outcomes!$C$2:$L$2, 0 ), 0 ), "-" )</f>
        <v>1.6935799257517805</v>
      </c>
      <c r="AH132" s="100">
        <f xml:space="preserve"> _xlfn.IFNA( VLOOKUP( $C132, CALCS│Outcomes!$C$301:$L$311, MATCH( AH$121, CALCS│Outcomes!$C$2:$L$2, 0 ), 0 ), "-" )</f>
        <v>2.2920721842826035</v>
      </c>
      <c r="AI132" s="230">
        <f t="shared" si="43"/>
        <v>2</v>
      </c>
      <c r="AJ132" s="230">
        <f t="shared" si="44"/>
        <v>2</v>
      </c>
      <c r="AK132" s="242">
        <f t="shared" si="45"/>
        <v>0.35338884774815238</v>
      </c>
      <c r="AL132" s="228">
        <f t="shared" si="46"/>
        <v>0</v>
      </c>
      <c r="AN132" s="101">
        <f xml:space="preserve"> _xlfn.IFNA( VLOOKUP( $C132, CALCS│Outcomes!$C$320:$L$330, MATCH( AN$121, CALCS│Outcomes!$C$2:$L$2, 0 ), 0 ), "-" )</f>
        <v>24</v>
      </c>
      <c r="AO132" s="101">
        <f xml:space="preserve"> _xlfn.IFNA( VLOOKUP( $C132, CALCS│Outcomes!$C$320:$L$330, MATCH( AO$121, CALCS│Outcomes!$C$2:$L$2, 0 ), 0 ), "-" )</f>
        <v>28</v>
      </c>
      <c r="AP132" s="230">
        <f t="shared" si="47"/>
        <v>3</v>
      </c>
      <c r="AQ132" s="230">
        <f t="shared" si="48"/>
        <v>2</v>
      </c>
      <c r="AR132" s="242">
        <f t="shared" si="49"/>
        <v>0.16666666666666674</v>
      </c>
      <c r="AS132" s="228">
        <f t="shared" si="50"/>
        <v>-1</v>
      </c>
    </row>
    <row r="133" spans="3:45" outlineLevel="1" x14ac:dyDescent="0.25">
      <c r="C133" s="8" t="s">
        <v>102</v>
      </c>
      <c r="E133" s="46">
        <f xml:space="preserve"> VLOOKUP( $C133, CALCS│Outcomes!$C$55:$L$71, MATCH( E$121, CALCS│Outcomes!$C$2:$L$2, 0 ), 0 )</f>
        <v>9.1151018713373038</v>
      </c>
      <c r="F133" s="46">
        <f xml:space="preserve"> VLOOKUP( $C133, CALCS│Outcomes!$C$55:$L$71, MATCH( F$121, CALCS│Outcomes!$C$2:$L$2, 0 ), 0 )</f>
        <v>8.4898826938092053</v>
      </c>
      <c r="G133" s="228">
        <f t="shared" si="29"/>
        <v>1</v>
      </c>
      <c r="H133" s="228">
        <f t="shared" si="30"/>
        <v>2</v>
      </c>
      <c r="I133" s="232">
        <f t="shared" si="31"/>
        <v>-6.8591573232342884E-2</v>
      </c>
      <c r="J133" s="228">
        <f t="shared" si="32"/>
        <v>1</v>
      </c>
      <c r="L133" s="46">
        <f xml:space="preserve"> VLOOKUP( $C133, CALCS│Outcomes!$C$80:$L$96, MATCH( L$121, CALCS│Outcomes!$C$2:$L$2, 0 ), 0 )</f>
        <v>133.54823134376196</v>
      </c>
      <c r="M133" s="46">
        <f xml:space="preserve"> VLOOKUP( $C133, CALCS│Outcomes!$C$80:$L$96, MATCH( M$121, CALCS│Outcomes!$C$2:$L$2, 0 ), 0 )</f>
        <v>134.96443658575174</v>
      </c>
      <c r="N133" s="228">
        <f t="shared" si="33"/>
        <v>3</v>
      </c>
      <c r="O133" s="228">
        <f t="shared" si="34"/>
        <v>3</v>
      </c>
      <c r="P133" s="232">
        <f t="shared" si="35"/>
        <v>1.060444775449243E-2</v>
      </c>
      <c r="Q133" s="228">
        <f t="shared" si="36"/>
        <v>0</v>
      </c>
      <c r="S133" s="46">
        <f xml:space="preserve"> VLOOKUP( $C133, CALCS│Outcomes!$C$150:$L$166, MATCH( S$121, CALCS│Outcomes!$C$2:$L$2, 0 ), 0 )</f>
        <v>10.46</v>
      </c>
      <c r="T133" s="46">
        <f xml:space="preserve"> VLOOKUP( $C133, CALCS│Outcomes!$C$150:$L$166, MATCH( T$121, CALCS│Outcomes!$C$2:$L$2, 0 ), 0 )</f>
        <v>7.56</v>
      </c>
      <c r="U133" s="228">
        <f t="shared" si="52"/>
        <v>2</v>
      </c>
      <c r="V133" s="228">
        <f t="shared" si="51"/>
        <v>2</v>
      </c>
      <c r="W133" s="232">
        <f t="shared" si="37"/>
        <v>-0.27724665391969416</v>
      </c>
      <c r="X133" s="228">
        <f t="shared" si="38"/>
        <v>0</v>
      </c>
      <c r="Z133" s="46">
        <f xml:space="preserve"> VLOOKUP( $C133, CALCS│Outcomes!$C$220:$L$236, MATCH( Z$121, CALCS│Outcomes!$C$2:$L$2, 0 ), 0 )</f>
        <v>1.64</v>
      </c>
      <c r="AA133" s="46">
        <f xml:space="preserve"> VLOOKUP( $C133, CALCS│Outcomes!$C$220:$L$236, MATCH( AA$121, CALCS│Outcomes!$C$2:$L$2, 0 ), 0 )</f>
        <v>1.31</v>
      </c>
      <c r="AB133" s="228">
        <f t="shared" si="39"/>
        <v>2</v>
      </c>
      <c r="AC133" s="228">
        <f t="shared" si="40"/>
        <v>2</v>
      </c>
      <c r="AD133" s="232">
        <f t="shared" si="41"/>
        <v>-0.20121951219512191</v>
      </c>
      <c r="AE133" s="228">
        <f t="shared" si="42"/>
        <v>0</v>
      </c>
      <c r="AG133" s="100">
        <f xml:space="preserve"> _xlfn.IFNA( VLOOKUP( $C133, CALCS│Outcomes!$C$301:$L$311, MATCH( AG$121, CALCS│Outcomes!$C$2:$L$2, 0 ), 0 ), "-" )</f>
        <v>7.3592030487629847</v>
      </c>
      <c r="AH133" s="100">
        <f xml:space="preserve"> _xlfn.IFNA( VLOOKUP( $C133, CALCS│Outcomes!$C$301:$L$311, MATCH( AH$121, CALCS│Outcomes!$C$2:$L$2, 0 ), 0 ), "-" )</f>
        <v>6.9261329220887866</v>
      </c>
      <c r="AI133" s="230">
        <f t="shared" si="43"/>
        <v>1</v>
      </c>
      <c r="AJ133" s="230">
        <f t="shared" si="44"/>
        <v>1</v>
      </c>
      <c r="AK133" s="242">
        <f t="shared" si="45"/>
        <v>-5.8847421902157415E-2</v>
      </c>
      <c r="AL133" s="228">
        <f t="shared" si="46"/>
        <v>0</v>
      </c>
      <c r="AN133" s="101">
        <f xml:space="preserve"> _xlfn.IFNA( VLOOKUP( $C133, CALCS│Outcomes!$C$320:$L$330, MATCH( AN$121, CALCS│Outcomes!$C$2:$L$2, 0 ), 0 ), "-" )</f>
        <v>44</v>
      </c>
      <c r="AO133" s="101">
        <f xml:space="preserve"> _xlfn.IFNA( VLOOKUP( $C133, CALCS│Outcomes!$C$320:$L$330, MATCH( AO$121, CALCS│Outcomes!$C$2:$L$2, 0 ), 0 ), "-" )</f>
        <v>35</v>
      </c>
      <c r="AP133" s="230">
        <f t="shared" si="47"/>
        <v>1</v>
      </c>
      <c r="AQ133" s="230">
        <f t="shared" si="48"/>
        <v>2</v>
      </c>
      <c r="AR133" s="242">
        <f t="shared" si="49"/>
        <v>-0.20454545454545459</v>
      </c>
      <c r="AS133" s="228">
        <f t="shared" si="50"/>
        <v>1</v>
      </c>
    </row>
    <row r="134" spans="3:45" outlineLevel="1" x14ac:dyDescent="0.25">
      <c r="C134" s="8" t="s">
        <v>108</v>
      </c>
      <c r="E134" s="46">
        <f xml:space="preserve"> VLOOKUP( $C134, CALCS│Outcomes!$C$55:$L$71, MATCH( E$121, CALCS│Outcomes!$C$2:$L$2, 0 ), 0 )</f>
        <v>8.3975392701427456</v>
      </c>
      <c r="F134" s="46">
        <f xml:space="preserve"> VLOOKUP( $C134, CALCS│Outcomes!$C$55:$L$71, MATCH( F$121, CALCS│Outcomes!$C$2:$L$2, 0 ), 0 )</f>
        <v>7.0207824688858453</v>
      </c>
      <c r="G134" s="228">
        <f t="shared" si="29"/>
        <v>2</v>
      </c>
      <c r="H134" s="228">
        <f t="shared" si="30"/>
        <v>2</v>
      </c>
      <c r="I134" s="232">
        <f t="shared" si="31"/>
        <v>-0.16394764668168049</v>
      </c>
      <c r="J134" s="228">
        <f t="shared" si="32"/>
        <v>0</v>
      </c>
      <c r="L134" s="46">
        <f xml:space="preserve"> VLOOKUP( $C134, CALCS│Outcomes!$C$80:$L$96, MATCH( L$121, CALCS│Outcomes!$C$2:$L$2, 0 ), 0 )</f>
        <v>153.85283474289486</v>
      </c>
      <c r="M134" s="46">
        <f xml:space="preserve"> VLOOKUP( $C134, CALCS│Outcomes!$C$80:$L$96, MATCH( M$121, CALCS│Outcomes!$C$2:$L$2, 0 ), 0 )</f>
        <v>153.11624205938838</v>
      </c>
      <c r="N134" s="228">
        <f t="shared" si="33"/>
        <v>1</v>
      </c>
      <c r="O134" s="228">
        <f t="shared" si="34"/>
        <v>1</v>
      </c>
      <c r="P134" s="232">
        <f t="shared" si="35"/>
        <v>-4.7876445353600694E-3</v>
      </c>
      <c r="Q134" s="228">
        <f t="shared" si="36"/>
        <v>0</v>
      </c>
      <c r="S134" s="46">
        <f xml:space="preserve"> VLOOKUP( $C134, CALCS│Outcomes!$C$150:$L$166, MATCH( S$121, CALCS│Outcomes!$C$2:$L$2, 0 ), 0 )</f>
        <v>3.9000000000000004</v>
      </c>
      <c r="T134" s="46">
        <f xml:space="preserve"> VLOOKUP( $C134, CALCS│Outcomes!$C$150:$L$166, MATCH( T$121, CALCS│Outcomes!$C$2:$L$2, 0 ), 0 )</f>
        <v>3.3666666666666667</v>
      </c>
      <c r="U134" s="228">
        <f t="shared" si="52"/>
        <v>3</v>
      </c>
      <c r="V134" s="228">
        <f t="shared" si="51"/>
        <v>3</v>
      </c>
      <c r="W134" s="232">
        <f t="shared" si="37"/>
        <v>-0.13675213675213682</v>
      </c>
      <c r="X134" s="228">
        <f t="shared" si="38"/>
        <v>0</v>
      </c>
      <c r="Z134" s="46">
        <f xml:space="preserve"> VLOOKUP( $C134, CALCS│Outcomes!$C$220:$L$236, MATCH( Z$121, CALCS│Outcomes!$C$2:$L$2, 0 ), 0 )</f>
        <v>0.44</v>
      </c>
      <c r="AA134" s="46">
        <f xml:space="preserve"> VLOOKUP( $C134, CALCS│Outcomes!$C$220:$L$236, MATCH( AA$121, CALCS│Outcomes!$C$2:$L$2, 0 ), 0 )</f>
        <v>0.39</v>
      </c>
      <c r="AB134" s="228">
        <f t="shared" si="39"/>
        <v>3</v>
      </c>
      <c r="AC134" s="228">
        <f t="shared" si="40"/>
        <v>3</v>
      </c>
      <c r="AD134" s="232">
        <f t="shared" si="41"/>
        <v>-0.11363636363636365</v>
      </c>
      <c r="AE134" s="228">
        <f t="shared" si="42"/>
        <v>0</v>
      </c>
      <c r="AG134" s="100" t="str">
        <f xml:space="preserve"> _xlfn.IFNA( VLOOKUP( $C134, CALCS│Outcomes!$C$301:$L$311, MATCH( AG$121, CALCS│Outcomes!$C$2:$L$2, 0 ), 0 ), "-" )</f>
        <v>-</v>
      </c>
      <c r="AH134" s="100" t="str">
        <f xml:space="preserve"> _xlfn.IFNA( VLOOKUP( $C134, CALCS│Outcomes!$C$301:$L$311, MATCH( AH$121, CALCS│Outcomes!$C$2:$L$2, 0 ), 0 ), "-" )</f>
        <v>-</v>
      </c>
      <c r="AI134" s="230" t="str">
        <f t="shared" si="43"/>
        <v>-</v>
      </c>
      <c r="AJ134" s="230" t="str">
        <f t="shared" si="44"/>
        <v>-</v>
      </c>
      <c r="AK134" s="242" t="str">
        <f t="shared" si="45"/>
        <v>-</v>
      </c>
      <c r="AL134" s="228">
        <f t="shared" si="46"/>
        <v>0</v>
      </c>
      <c r="AN134" s="101" t="str">
        <f xml:space="preserve"> _xlfn.IFNA( VLOOKUP( $C134, CALCS│Outcomes!$C$320:$L$330, MATCH( AN$121, CALCS│Outcomes!$C$2:$L$2, 0 ), 0 ), "-" )</f>
        <v>-</v>
      </c>
      <c r="AO134" s="101" t="str">
        <f xml:space="preserve"> _xlfn.IFNA( VLOOKUP( $C134, CALCS│Outcomes!$C$320:$L$330, MATCH( AO$121, CALCS│Outcomes!$C$2:$L$2, 0 ), 0 ), "-" )</f>
        <v>-</v>
      </c>
      <c r="AP134" s="230" t="str">
        <f t="shared" si="47"/>
        <v>-</v>
      </c>
      <c r="AQ134" s="230" t="str">
        <f t="shared" si="48"/>
        <v>-</v>
      </c>
      <c r="AR134" s="242" t="str">
        <f t="shared" si="49"/>
        <v>-</v>
      </c>
      <c r="AS134" s="228">
        <f t="shared" si="50"/>
        <v>0</v>
      </c>
    </row>
    <row r="135" spans="3:45" outlineLevel="1" x14ac:dyDescent="0.25">
      <c r="C135" s="8" t="s">
        <v>112</v>
      </c>
      <c r="E135" s="46">
        <f xml:space="preserve"> VLOOKUP( $C135, CALCS│Outcomes!$C$55:$L$71, MATCH( E$121, CALCS│Outcomes!$C$2:$L$2, 0 ), 0 )</f>
        <v>5.9294040566733095</v>
      </c>
      <c r="F135" s="46">
        <f xml:space="preserve"> VLOOKUP( $C135, CALCS│Outcomes!$C$55:$L$71, MATCH( F$121, CALCS│Outcomes!$C$2:$L$2, 0 ), 0 )</f>
        <v>5.8565538758616853</v>
      </c>
      <c r="G135" s="228">
        <f t="shared" si="29"/>
        <v>3</v>
      </c>
      <c r="H135" s="228">
        <f t="shared" si="30"/>
        <v>2</v>
      </c>
      <c r="I135" s="232">
        <f t="shared" si="31"/>
        <v>-1.2286256783198057E-2</v>
      </c>
      <c r="J135" s="228">
        <f t="shared" si="32"/>
        <v>-1</v>
      </c>
      <c r="L135" s="46">
        <f xml:space="preserve"> VLOOKUP( $C135, CALCS│Outcomes!$C$80:$L$96, MATCH( L$121, CALCS│Outcomes!$C$2:$L$2, 0 ), 0 )</f>
        <v>151.83838991981071</v>
      </c>
      <c r="M135" s="46">
        <f xml:space="preserve"> VLOOKUP( $C135, CALCS│Outcomes!$C$80:$L$96, MATCH( M$121, CALCS│Outcomes!$C$2:$L$2, 0 ), 0 )</f>
        <v>149.50438417543901</v>
      </c>
      <c r="N135" s="228">
        <f t="shared" si="33"/>
        <v>2</v>
      </c>
      <c r="O135" s="228">
        <f t="shared" si="34"/>
        <v>2</v>
      </c>
      <c r="P135" s="232">
        <f t="shared" si="35"/>
        <v>-1.5371644454372446E-2</v>
      </c>
      <c r="Q135" s="228">
        <f t="shared" si="36"/>
        <v>0</v>
      </c>
      <c r="S135" s="46">
        <f xml:space="preserve"> VLOOKUP( $C135, CALCS│Outcomes!$C$150:$L$166, MATCH( S$121, CALCS│Outcomes!$C$2:$L$2, 0 ), 0 )</f>
        <v>14.2</v>
      </c>
      <c r="T135" s="46">
        <f xml:space="preserve"> VLOOKUP( $C135, CALCS│Outcomes!$C$150:$L$166, MATCH( T$121, CALCS│Outcomes!$C$2:$L$2, 0 ), 0 )</f>
        <v>10</v>
      </c>
      <c r="U135" s="228">
        <f t="shared" si="52"/>
        <v>2</v>
      </c>
      <c r="V135" s="228">
        <f t="shared" si="51"/>
        <v>2</v>
      </c>
      <c r="W135" s="232">
        <f t="shared" si="37"/>
        <v>-0.29577464788732388</v>
      </c>
      <c r="X135" s="228">
        <f t="shared" si="38"/>
        <v>0</v>
      </c>
      <c r="Z135" s="46">
        <f xml:space="preserve"> VLOOKUP( $C135, CALCS│Outcomes!$C$220:$L$236, MATCH( Z$121, CALCS│Outcomes!$C$2:$L$2, 0 ), 0 )</f>
        <v>1.52</v>
      </c>
      <c r="AA135" s="46">
        <f xml:space="preserve"> VLOOKUP( $C135, CALCS│Outcomes!$C$220:$L$236, MATCH( AA$121, CALCS│Outcomes!$C$2:$L$2, 0 ), 0 )</f>
        <v>1.37</v>
      </c>
      <c r="AB135" s="228">
        <f t="shared" si="39"/>
        <v>2</v>
      </c>
      <c r="AC135" s="228">
        <f t="shared" si="40"/>
        <v>2</v>
      </c>
      <c r="AD135" s="232">
        <f t="shared" si="41"/>
        <v>-9.8684210526315708E-2</v>
      </c>
      <c r="AE135" s="228">
        <f t="shared" si="42"/>
        <v>0</v>
      </c>
      <c r="AG135" s="100" t="str">
        <f xml:space="preserve"> _xlfn.IFNA( VLOOKUP( $C135, CALCS│Outcomes!$C$301:$L$311, MATCH( AG$121, CALCS│Outcomes!$C$2:$L$2, 0 ), 0 ), "-" )</f>
        <v>-</v>
      </c>
      <c r="AH135" s="100" t="str">
        <f xml:space="preserve"> _xlfn.IFNA( VLOOKUP( $C135, CALCS│Outcomes!$C$301:$L$311, MATCH( AH$121, CALCS│Outcomes!$C$2:$L$2, 0 ), 0 ), "-" )</f>
        <v>-</v>
      </c>
      <c r="AI135" s="230" t="str">
        <f t="shared" si="43"/>
        <v>-</v>
      </c>
      <c r="AJ135" s="230" t="str">
        <f t="shared" si="44"/>
        <v>-</v>
      </c>
      <c r="AK135" s="242" t="str">
        <f t="shared" si="45"/>
        <v>-</v>
      </c>
      <c r="AL135" s="228">
        <f t="shared" si="46"/>
        <v>0</v>
      </c>
      <c r="AN135" s="101" t="str">
        <f xml:space="preserve"> _xlfn.IFNA( VLOOKUP( $C135, CALCS│Outcomes!$C$320:$L$330, MATCH( AN$121, CALCS│Outcomes!$C$2:$L$2, 0 ), 0 ), "-" )</f>
        <v>-</v>
      </c>
      <c r="AO135" s="101" t="str">
        <f xml:space="preserve"> _xlfn.IFNA( VLOOKUP( $C135, CALCS│Outcomes!$C$320:$L$330, MATCH( AO$121, CALCS│Outcomes!$C$2:$L$2, 0 ), 0 ), "-" )</f>
        <v>-</v>
      </c>
      <c r="AP135" s="230" t="str">
        <f t="shared" si="47"/>
        <v>-</v>
      </c>
      <c r="AQ135" s="230" t="str">
        <f t="shared" si="48"/>
        <v>-</v>
      </c>
      <c r="AR135" s="242" t="str">
        <f t="shared" si="49"/>
        <v>-</v>
      </c>
      <c r="AS135" s="228">
        <f t="shared" si="50"/>
        <v>0</v>
      </c>
    </row>
    <row r="136" spans="3:45" outlineLevel="1" x14ac:dyDescent="0.25">
      <c r="C136" s="8" t="s">
        <v>110</v>
      </c>
      <c r="E136" s="46">
        <f xml:space="preserve"> VLOOKUP( $C136, CALCS│Outcomes!$C$55:$L$71, MATCH( E$121, CALCS│Outcomes!$C$2:$L$2, 0 ), 0 )</f>
        <v>6.9005520441635335</v>
      </c>
      <c r="F136" s="46">
        <f xml:space="preserve"> VLOOKUP( $C136, CALCS│Outcomes!$C$55:$L$71, MATCH( F$121, CALCS│Outcomes!$C$2:$L$2, 0 ), 0 )</f>
        <v>6.8049970932335775</v>
      </c>
      <c r="G136" s="228">
        <f t="shared" si="29"/>
        <v>2</v>
      </c>
      <c r="H136" s="228">
        <f t="shared" si="30"/>
        <v>2</v>
      </c>
      <c r="I136" s="232">
        <f t="shared" si="31"/>
        <v>-1.3847435729548052E-2</v>
      </c>
      <c r="J136" s="228">
        <f t="shared" si="32"/>
        <v>0</v>
      </c>
      <c r="L136" s="46">
        <f xml:space="preserve"> VLOOKUP( $C136, CALCS│Outcomes!$C$80:$L$96, MATCH( L$121, CALCS│Outcomes!$C$2:$L$2, 0 ), 0 )</f>
        <v>162.44342327478668</v>
      </c>
      <c r="M136" s="46">
        <f xml:space="preserve"> VLOOKUP( $C136, CALCS│Outcomes!$C$80:$L$96, MATCH( M$121, CALCS│Outcomes!$C$2:$L$2, 0 ), 0 )</f>
        <v>153.09501907766804</v>
      </c>
      <c r="N136" s="228">
        <f t="shared" si="33"/>
        <v>1</v>
      </c>
      <c r="O136" s="228">
        <f t="shared" si="34"/>
        <v>1</v>
      </c>
      <c r="P136" s="232">
        <f t="shared" si="35"/>
        <v>-5.7548677617468291E-2</v>
      </c>
      <c r="Q136" s="228">
        <f t="shared" si="36"/>
        <v>0</v>
      </c>
      <c r="S136" s="46">
        <f xml:space="preserve"> VLOOKUP( $C136, CALCS│Outcomes!$C$150:$L$166, MATCH( S$121, CALCS│Outcomes!$C$2:$L$2, 0 ), 0 )</f>
        <v>16.200000000000003</v>
      </c>
      <c r="T136" s="46">
        <f xml:space="preserve"> VLOOKUP( $C136, CALCS│Outcomes!$C$150:$L$166, MATCH( T$121, CALCS│Outcomes!$C$2:$L$2, 0 ), 0 )</f>
        <v>1.2</v>
      </c>
      <c r="U136" s="228">
        <f t="shared" si="52"/>
        <v>1</v>
      </c>
      <c r="V136" s="228">
        <f t="shared" si="51"/>
        <v>3</v>
      </c>
      <c r="W136" s="232">
        <f t="shared" si="37"/>
        <v>-0.92592592592592593</v>
      </c>
      <c r="X136" s="228">
        <f t="shared" si="38"/>
        <v>2</v>
      </c>
      <c r="Z136" s="46">
        <f xml:space="preserve"> VLOOKUP( $C136, CALCS│Outcomes!$C$220:$L$236, MATCH( Z$121, CALCS│Outcomes!$C$2:$L$2, 0 ), 0 )</f>
        <v>0.59</v>
      </c>
      <c r="AA136" s="46">
        <f xml:space="preserve"> VLOOKUP( $C136, CALCS│Outcomes!$C$220:$L$236, MATCH( AA$121, CALCS│Outcomes!$C$2:$L$2, 0 ), 0 )</f>
        <v>0.49</v>
      </c>
      <c r="AB136" s="228">
        <f t="shared" si="39"/>
        <v>3</v>
      </c>
      <c r="AC136" s="228">
        <f t="shared" si="40"/>
        <v>3</v>
      </c>
      <c r="AD136" s="232">
        <f t="shared" si="41"/>
        <v>-0.16949152542372881</v>
      </c>
      <c r="AE136" s="228">
        <f t="shared" si="42"/>
        <v>0</v>
      </c>
      <c r="AG136" s="100" t="str">
        <f xml:space="preserve"> _xlfn.IFNA( VLOOKUP( $C136, CALCS│Outcomes!$C$301:$L$311, MATCH( AG$121, CALCS│Outcomes!$C$2:$L$2, 0 ), 0 ), "-" )</f>
        <v>-</v>
      </c>
      <c r="AH136" s="100" t="str">
        <f xml:space="preserve"> _xlfn.IFNA( VLOOKUP( $C136, CALCS│Outcomes!$C$301:$L$311, MATCH( AH$121, CALCS│Outcomes!$C$2:$L$2, 0 ), 0 ), "-" )</f>
        <v>-</v>
      </c>
      <c r="AI136" s="230" t="str">
        <f t="shared" si="43"/>
        <v>-</v>
      </c>
      <c r="AJ136" s="230" t="str">
        <f t="shared" si="44"/>
        <v>-</v>
      </c>
      <c r="AK136" s="242" t="str">
        <f t="shared" si="45"/>
        <v>-</v>
      </c>
      <c r="AL136" s="228">
        <f t="shared" si="46"/>
        <v>0</v>
      </c>
      <c r="AN136" s="101" t="str">
        <f xml:space="preserve"> _xlfn.IFNA( VLOOKUP( $C136, CALCS│Outcomes!$C$320:$L$330, MATCH( AN$121, CALCS│Outcomes!$C$2:$L$2, 0 ), 0 ), "-" )</f>
        <v>-</v>
      </c>
      <c r="AO136" s="101" t="str">
        <f xml:space="preserve"> _xlfn.IFNA( VLOOKUP( $C136, CALCS│Outcomes!$C$320:$L$330, MATCH( AO$121, CALCS│Outcomes!$C$2:$L$2, 0 ), 0 ), "-" )</f>
        <v>-</v>
      </c>
      <c r="AP136" s="230" t="str">
        <f t="shared" si="47"/>
        <v>-</v>
      </c>
      <c r="AQ136" s="230" t="str">
        <f t="shared" si="48"/>
        <v>-</v>
      </c>
      <c r="AR136" s="242" t="str">
        <f t="shared" si="49"/>
        <v>-</v>
      </c>
      <c r="AS136" s="228">
        <f t="shared" si="50"/>
        <v>0</v>
      </c>
    </row>
    <row r="137" spans="3:45" outlineLevel="1" x14ac:dyDescent="0.25">
      <c r="G137" s="241"/>
      <c r="H137" s="241"/>
      <c r="I137" s="241"/>
      <c r="J137" s="241"/>
      <c r="L137" s="83"/>
      <c r="M137" s="83"/>
      <c r="N137" s="308"/>
      <c r="O137" s="308"/>
      <c r="P137" s="308"/>
      <c r="Q137" s="241"/>
      <c r="U137" s="241"/>
      <c r="V137" s="241"/>
      <c r="W137" s="241"/>
      <c r="X137" s="241"/>
      <c r="AB137" s="241"/>
      <c r="AC137" s="241"/>
      <c r="AD137" s="241"/>
      <c r="AE137" s="241"/>
      <c r="AI137" s="241"/>
      <c r="AJ137" s="241"/>
      <c r="AK137" s="241"/>
      <c r="AL137" s="241"/>
      <c r="AP137" s="241"/>
      <c r="AQ137" s="241"/>
      <c r="AR137" s="241"/>
      <c r="AS137" s="241"/>
    </row>
    <row r="138" spans="3:45" outlineLevel="1" x14ac:dyDescent="0.25">
      <c r="C138" s="8" t="s">
        <v>85</v>
      </c>
      <c r="E138" s="46">
        <f xml:space="preserve"> VLOOKUP( $C138, CALCS│Outcomes!$C$55:$L$71, MATCH( E$121, CALCS│Outcomes!$C$2:$L$2, 0 ), 0 )</f>
        <v>5.8599585931543228</v>
      </c>
      <c r="F138" s="46">
        <f xml:space="preserve"> VLOOKUP( $C138, CALCS│Outcomes!$C$55:$L$71, MATCH( F$121, CALCS│Outcomes!$C$2:$L$2, 0 ), 0 )</f>
        <v>4.8710490237979425</v>
      </c>
      <c r="G138" s="228">
        <f t="shared" ref="G138:H141" si="53">IF( E138 &lt;= E$143, 3, IF( E138 &gt;= E$144, 1, 2 ) )</f>
        <v>3</v>
      </c>
      <c r="H138" s="228">
        <f t="shared" si="53"/>
        <v>3</v>
      </c>
      <c r="I138" s="232">
        <f xml:space="preserve"> F138 / E138 - 1</f>
        <v>-0.1687570916476504</v>
      </c>
      <c r="J138" s="228">
        <f xml:space="preserve"> IF( OR( ISBLANK( E138 ), ISBLANK( F138 ) ), 0, IFERROR( H138 - G138, 0 ) )</f>
        <v>0</v>
      </c>
      <c r="L138" s="46">
        <f xml:space="preserve"> VLOOKUP( $C138, CALCS│Outcomes!$C$80:$L$96, MATCH( L$121, CALCS│Outcomes!$C$2:$L$2, 0 ), 0 )</f>
        <v>141.68737012013418</v>
      </c>
      <c r="M138" s="46">
        <f xml:space="preserve"> VLOOKUP( $C138, CALCS│Outcomes!$C$80:$L$96, MATCH( M$121, CALCS│Outcomes!$C$2:$L$2, 0 ), 0 )</f>
        <v>141.70814867302039</v>
      </c>
      <c r="N138" s="228">
        <f t="shared" ref="N138:O141" si="54">IF( L138 &lt;= L$143, 3, IF( L138 &gt;= L$144, 1, 2 ) )</f>
        <v>2</v>
      </c>
      <c r="O138" s="228">
        <f t="shared" si="54"/>
        <v>2</v>
      </c>
      <c r="P138" s="232">
        <f xml:space="preserve"> M138 / L138 - 1</f>
        <v>1.4665070618913312E-4</v>
      </c>
      <c r="Q138" s="228">
        <f xml:space="preserve"> IF( OR( ISBLANK( L138 ), ISBLANK( M138 ) ), 0, IFERROR( O138 - N138, 0 ) )</f>
        <v>0</v>
      </c>
      <c r="S138" s="226"/>
      <c r="T138" s="46">
        <f xml:space="preserve"> VLOOKUP( $C138, CALCS│Outcomes!$C$150:$L$166, MATCH( T$121, CALCS│Outcomes!$C$2:$L$2, 0 ), 0 )</f>
        <v>16.89</v>
      </c>
      <c r="U138" s="226"/>
      <c r="V138" s="228">
        <f>IF( T138 &lt;= T$143, 3, IF( T138 &gt;= T$144, 1, 2 ) )</f>
        <v>1</v>
      </c>
      <c r="W138" s="232" t="e">
        <f xml:space="preserve"> T138 / S138 - 1</f>
        <v>#DIV/0!</v>
      </c>
      <c r="X138" s="228">
        <f xml:space="preserve"> IF( OR( ISBLANK( S138 ), ISBLANK( T138 ) ), 0, IFERROR( V138 - U138, 0 ) )</f>
        <v>0</v>
      </c>
      <c r="Z138" s="226"/>
      <c r="AA138" s="46">
        <f xml:space="preserve"> VLOOKUP( $C138, CALCS│Outcomes!$C$220:$L$236, MATCH( AA$121, CALCS│Outcomes!$C$2:$L$2, 0 ), 0 )</f>
        <v>2.4500000000000002</v>
      </c>
      <c r="AB138" s="228">
        <f t="shared" ref="AB138:AC141" si="55">IF( Z138 &lt;= Z$143, 3, IF( Z138 &gt;= Z$144, 1, 2 ) )</f>
        <v>3</v>
      </c>
      <c r="AC138" s="228">
        <f t="shared" si="55"/>
        <v>1</v>
      </c>
      <c r="AD138" s="232" t="e">
        <f xml:space="preserve"> AA138 / Z138 - 1</f>
        <v>#DIV/0!</v>
      </c>
      <c r="AE138" s="228">
        <f xml:space="preserve"> IF( OR( ISBLANK( Z138 ), ISBLANK( AA138 ) ), 0, IFERROR( AC138 - AB138, 0 ) )</f>
        <v>0</v>
      </c>
      <c r="AG138" s="226"/>
      <c r="AH138" s="100">
        <f xml:space="preserve"> _xlfn.IFNA( VLOOKUP( $C138, CALCS│Outcomes!$C$301:$L$311, MATCH( AH$121, CALCS│Outcomes!$C$2:$L$2, 0 ), 0 ), "-" )</f>
        <v>4.7795686696797741</v>
      </c>
      <c r="AI138" s="230">
        <f t="shared" ref="AI138:AJ141" si="56" xml:space="preserve"> IF( AG138 = "-", "-", IF( AG138 &lt;= AG$143, 3, IF( AG138 &gt;= AG$144, 1, 2 ) ) )</f>
        <v>3</v>
      </c>
      <c r="AJ138" s="230">
        <f t="shared" si="56"/>
        <v>1</v>
      </c>
      <c r="AK138" s="242" t="str">
        <f xml:space="preserve"> IFERROR( AH138 / AG138 - 1, "-" )</f>
        <v>-</v>
      </c>
      <c r="AL138" s="228">
        <f xml:space="preserve"> IF( OR( ISBLANK( AG138 ), ISBLANK( AH138 ) ), 0, IFERROR( AJ138 - AI138, 0 ) )</f>
        <v>0</v>
      </c>
      <c r="AN138" s="226"/>
      <c r="AO138" s="101">
        <f xml:space="preserve"> _xlfn.IFNA( VLOOKUP( $C138, CALCS│Outcomes!$C$320:$L$330, MATCH( AO$121, CALCS│Outcomes!$C$2:$L$2, 0 ), 0 ), "-" )</f>
        <v>67.8</v>
      </c>
      <c r="AP138" s="230">
        <f t="shared" ref="AP138:AQ141" si="57" xml:space="preserve"> IF( AN138 = "-", "-", IF( AN138 &lt;= AN$143, 3, IF( AN138 &gt;= AN$144, 1, 2 ) ) )</f>
        <v>3</v>
      </c>
      <c r="AQ138" s="230">
        <f t="shared" si="57"/>
        <v>1</v>
      </c>
      <c r="AR138" s="242" t="str">
        <f xml:space="preserve"> IFERROR( AO138 / AN138 - 1, "-" )</f>
        <v>-</v>
      </c>
      <c r="AS138" s="228">
        <f xml:space="preserve"> IF( OR( ISBLANK( AN138 ), ISBLANK( AO138 ) ), 0, IFERROR( AQ138 - AP138, 0 ) )</f>
        <v>0</v>
      </c>
    </row>
    <row r="139" spans="3:45" outlineLevel="1" x14ac:dyDescent="0.25">
      <c r="C139" s="8" t="s">
        <v>96</v>
      </c>
      <c r="E139" s="46">
        <f xml:space="preserve"> VLOOKUP( $C139, CALCS│Outcomes!$C$55:$L$71, MATCH( E$121, CALCS│Outcomes!$C$2:$L$2, 0 ), 0 )</f>
        <v>21.882411155978417</v>
      </c>
      <c r="F139" s="46">
        <f xml:space="preserve"> VLOOKUP( $C139, CALCS│Outcomes!$C$55:$L$71, MATCH( F$121, CALCS│Outcomes!$C$2:$L$2, 0 ), 0 )</f>
        <v>18.809424728782279</v>
      </c>
      <c r="G139" s="228">
        <f t="shared" si="53"/>
        <v>1</v>
      </c>
      <c r="H139" s="228">
        <f t="shared" si="53"/>
        <v>1</v>
      </c>
      <c r="I139" s="232">
        <f xml:space="preserve"> F139 / E139 - 1</f>
        <v>-0.14043180183809767</v>
      </c>
      <c r="J139" s="228">
        <f xml:space="preserve"> IF( OR( ISBLANK( E139 ), ISBLANK( F139 ) ), 0, IFERROR( H139 - G139, 0 ) )</f>
        <v>0</v>
      </c>
      <c r="L139" s="46">
        <f xml:space="preserve"> VLOOKUP( $C139, CALCS│Outcomes!$C$80:$L$96, MATCH( L$121, CALCS│Outcomes!$C$2:$L$2, 0 ), 0 )</f>
        <v>145.20993876390412</v>
      </c>
      <c r="M139" s="46">
        <f xml:space="preserve"> VLOOKUP( $C139, CALCS│Outcomes!$C$80:$L$96, MATCH( M$121, CALCS│Outcomes!$C$2:$L$2, 0 ), 0 )</f>
        <v>144.71587814173526</v>
      </c>
      <c r="N139" s="228">
        <f t="shared" si="54"/>
        <v>2</v>
      </c>
      <c r="O139" s="228">
        <f t="shared" si="54"/>
        <v>2</v>
      </c>
      <c r="P139" s="232">
        <f xml:space="preserve"> M139 / L139 - 1</f>
        <v>-3.4023884754345035E-3</v>
      </c>
      <c r="Q139" s="228">
        <f xml:space="preserve"> IF( OR( ISBLANK( L139 ), ISBLANK( M139 ) ), 0, IFERROR( O139 - N139, 0 ) )</f>
        <v>0</v>
      </c>
      <c r="S139" s="46">
        <f xml:space="preserve"> VLOOKUP( $C139, CALCS│Outcomes!$C$150:$L$166, MATCH( S$121, CALCS│Outcomes!$C$2:$L$2, 0 ), 0 )</f>
        <v>22.049999999999997</v>
      </c>
      <c r="T139" s="46">
        <f xml:space="preserve"> VLOOKUP( $C139, CALCS│Outcomes!$C$150:$L$166, MATCH( T$121, CALCS│Outcomes!$C$2:$L$2, 0 ), 0 )</f>
        <v>22.049999999999997</v>
      </c>
      <c r="U139" s="228">
        <f>IF( S139 &lt;= S$143, 3, IF( S139 &gt;= S$144, 1, 2 ) )</f>
        <v>1</v>
      </c>
      <c r="V139" s="228">
        <f>IF( T139 &lt;= T$143, 3, IF( T139 &gt;= T$144, 1, 2 ) )</f>
        <v>1</v>
      </c>
      <c r="W139" s="232">
        <f xml:space="preserve"> T139 / S139 - 1</f>
        <v>0</v>
      </c>
      <c r="X139" s="228">
        <f xml:space="preserve"> IF( OR( ISBLANK( S139 ), ISBLANK( T139 ) ), 0, IFERROR( V139 - U139, 0 ) )</f>
        <v>0</v>
      </c>
      <c r="Z139" s="46">
        <f xml:space="preserve"> VLOOKUP( $C139, CALCS│Outcomes!$C$220:$L$236, MATCH( Z$121, CALCS│Outcomes!$C$2:$L$2, 0 ), 0 )</f>
        <v>0.61</v>
      </c>
      <c r="AA139" s="46">
        <f xml:space="preserve"> VLOOKUP( $C139, CALCS│Outcomes!$C$220:$L$236, MATCH( AA$121, CALCS│Outcomes!$C$2:$L$2, 0 ), 0 )</f>
        <v>0.62</v>
      </c>
      <c r="AB139" s="228">
        <f t="shared" si="55"/>
        <v>3</v>
      </c>
      <c r="AC139" s="228">
        <f t="shared" si="55"/>
        <v>3</v>
      </c>
      <c r="AD139" s="232">
        <f xml:space="preserve"> AA139 / Z139 - 1</f>
        <v>1.6393442622950838E-2</v>
      </c>
      <c r="AE139" s="228">
        <f xml:space="preserve"> IF( OR( ISBLANK( Z139 ), ISBLANK( AA139 ) ), 0, IFERROR( AC139 - AB139, 0 ) )</f>
        <v>0</v>
      </c>
      <c r="AG139" s="100">
        <f xml:space="preserve"> _xlfn.IFNA( VLOOKUP( $C139, CALCS│Outcomes!$C$301:$L$311, MATCH( AG$121, CALCS│Outcomes!$C$2:$L$2, 0 ), 0 ), "-" )</f>
        <v>1.7491706270183471</v>
      </c>
      <c r="AH139" s="100">
        <f xml:space="preserve"> _xlfn.IFNA( VLOOKUP( $C139, CALCS│Outcomes!$C$301:$L$311, MATCH( AH$121, CALCS│Outcomes!$C$2:$L$2, 0 ), 0 ), "-" )</f>
        <v>1.7702873169622473</v>
      </c>
      <c r="AI139" s="230">
        <f t="shared" si="56"/>
        <v>2</v>
      </c>
      <c r="AJ139" s="230">
        <f t="shared" si="56"/>
        <v>2</v>
      </c>
      <c r="AK139" s="242">
        <f xml:space="preserve"> IFERROR( AH139 / AG139 - 1, "-" )</f>
        <v>1.2072401409973343E-2</v>
      </c>
      <c r="AL139" s="228">
        <f xml:space="preserve"> IF( OR( ISBLANK( AG139 ), ISBLANK( AH139 ) ), 0, IFERROR( AJ139 - AI139, 0 ) )</f>
        <v>0</v>
      </c>
      <c r="AN139" s="101">
        <f xml:space="preserve"> _xlfn.IFNA( VLOOKUP( $C139, CALCS│Outcomes!$C$320:$L$330, MATCH( AN$121, CALCS│Outcomes!$C$2:$L$2, 0 ), 0 ), "-" )</f>
        <v>27</v>
      </c>
      <c r="AO139" s="101">
        <f xml:space="preserve"> _xlfn.IFNA( VLOOKUP( $C139, CALCS│Outcomes!$C$320:$L$330, MATCH( AO$121, CALCS│Outcomes!$C$2:$L$2, 0 ), 0 ), "-" )</f>
        <v>30</v>
      </c>
      <c r="AP139" s="230">
        <f t="shared" si="57"/>
        <v>2</v>
      </c>
      <c r="AQ139" s="230">
        <f t="shared" si="57"/>
        <v>2</v>
      </c>
      <c r="AR139" s="242">
        <f xml:space="preserve"> IFERROR( AO139 / AN139 - 1, "-" )</f>
        <v>0.11111111111111116</v>
      </c>
      <c r="AS139" s="228">
        <f xml:space="preserve"> IF( OR( ISBLANK( AN139 ), ISBLANK( AO139 ) ), 0, IFERROR( AQ139 - AP139, 0 ) )</f>
        <v>0</v>
      </c>
    </row>
    <row r="140" spans="3:45" outlineLevel="1" x14ac:dyDescent="0.25">
      <c r="C140" s="8" t="s">
        <v>94</v>
      </c>
      <c r="E140" s="46">
        <f xml:space="preserve"> VLOOKUP( $C140, CALCS│Outcomes!$C$55:$L$71, MATCH( E$121, CALCS│Outcomes!$C$2:$L$2, 0 ), 0 )</f>
        <v>7.3103922556333396</v>
      </c>
      <c r="F140" s="46">
        <f xml:space="preserve"> VLOOKUP( $C140, CALCS│Outcomes!$C$55:$L$71, MATCH( F$121, CALCS│Outcomes!$C$2:$L$2, 0 ), 0 )</f>
        <v>6.7367274863352753</v>
      </c>
      <c r="G140" s="228">
        <f t="shared" si="53"/>
        <v>2</v>
      </c>
      <c r="H140" s="228">
        <f t="shared" si="53"/>
        <v>2</v>
      </c>
      <c r="I140" s="232">
        <f xml:space="preserve"> F140 / E140 - 1</f>
        <v>-7.8472501780735837E-2</v>
      </c>
      <c r="J140" s="228">
        <f xml:space="preserve"> IF( OR( ISBLANK( E140 ), ISBLANK( F140 ) ), 0, IFERROR( H140 - G140, 0 ) )</f>
        <v>0</v>
      </c>
      <c r="L140" s="46">
        <f xml:space="preserve"> VLOOKUP( $C140, CALCS│Outcomes!$C$80:$L$96, MATCH( L$121, CALCS│Outcomes!$C$2:$L$2, 0 ), 0 )</f>
        <v>129.74854584328725</v>
      </c>
      <c r="M140" s="46">
        <f xml:space="preserve"> VLOOKUP( $C140, CALCS│Outcomes!$C$80:$L$96, MATCH( M$121, CALCS│Outcomes!$C$2:$L$2, 0 ), 0 )</f>
        <v>126.54916491875368</v>
      </c>
      <c r="N140" s="228">
        <f t="shared" si="54"/>
        <v>3</v>
      </c>
      <c r="O140" s="228">
        <f t="shared" si="54"/>
        <v>3</v>
      </c>
      <c r="P140" s="232">
        <f xml:space="preserve"> M140 / L140 - 1</f>
        <v>-2.4658318162562254E-2</v>
      </c>
      <c r="Q140" s="228">
        <f xml:space="preserve"> IF( OR( ISBLANK( L140 ), ISBLANK( M140 ) ), 0, IFERROR( O140 - N140, 0 ) )</f>
        <v>0</v>
      </c>
      <c r="S140" s="46">
        <f xml:space="preserve"> VLOOKUP( $C140, CALCS│Outcomes!$C$150:$L$166, MATCH( S$121, CALCS│Outcomes!$C$2:$L$2, 0 ), 0 )</f>
        <v>7.38</v>
      </c>
      <c r="T140" s="46">
        <f xml:space="preserve"> VLOOKUP( $C140, CALCS│Outcomes!$C$150:$L$166, MATCH( T$121, CALCS│Outcomes!$C$2:$L$2, 0 ), 0 )</f>
        <v>11.27</v>
      </c>
      <c r="U140" s="228">
        <f>IF( S140 &lt;= S$143, 3, IF( S140 &gt;= S$144, 1, 2 ) )</f>
        <v>3</v>
      </c>
      <c r="V140" s="228">
        <f>IF( T140 &lt;= T$143, 3, IF( T140 &gt;= T$144, 1, 2 ) )</f>
        <v>2</v>
      </c>
      <c r="W140" s="232">
        <f xml:space="preserve"> T140 / S140 - 1</f>
        <v>0.52710027100270995</v>
      </c>
      <c r="X140" s="228">
        <f xml:space="preserve"> IF( OR( ISBLANK( S140 ), ISBLANK( T140 ) ), 0, IFERROR( V140 - U140, 0 ) )</f>
        <v>-1</v>
      </c>
      <c r="Z140" s="46">
        <f xml:space="preserve"> VLOOKUP( $C140, CALCS│Outcomes!$C$220:$L$236, MATCH( Z$121, CALCS│Outcomes!$C$2:$L$2, 0 ), 0 )</f>
        <v>1.26</v>
      </c>
      <c r="AA140" s="46">
        <f xml:space="preserve"> VLOOKUP( $C140, CALCS│Outcomes!$C$220:$L$236, MATCH( AA$121, CALCS│Outcomes!$C$2:$L$2, 0 ), 0 )</f>
        <v>1.21</v>
      </c>
      <c r="AB140" s="228">
        <f t="shared" si="55"/>
        <v>2</v>
      </c>
      <c r="AC140" s="228">
        <f t="shared" si="55"/>
        <v>2</v>
      </c>
      <c r="AD140" s="232">
        <f xml:space="preserve"> AA140 / Z140 - 1</f>
        <v>-3.9682539682539764E-2</v>
      </c>
      <c r="AE140" s="228">
        <f xml:space="preserve"> IF( OR( ISBLANK( Z140 ), ISBLANK( AA140 ) ), 0, IFERROR( AC140 - AB140, 0 ) )</f>
        <v>0</v>
      </c>
      <c r="AG140" s="100">
        <f xml:space="preserve"> _xlfn.IFNA( VLOOKUP( $C140, CALCS│Outcomes!$C$301:$L$311, MATCH( AG$121, CALCS│Outcomes!$C$2:$L$2, 0 ), 0 ), "-" )</f>
        <v>1.9580760317399595</v>
      </c>
      <c r="AH140" s="100">
        <f xml:space="preserve"> _xlfn.IFNA( VLOOKUP( $C140, CALCS│Outcomes!$C$301:$L$311, MATCH( AH$121, CALCS│Outcomes!$C$2:$L$2, 0 ), 0 ), "-" )</f>
        <v>2.26621128993447</v>
      </c>
      <c r="AI140" s="230">
        <f t="shared" si="56"/>
        <v>1</v>
      </c>
      <c r="AJ140" s="230">
        <f t="shared" si="56"/>
        <v>2</v>
      </c>
      <c r="AK140" s="242">
        <f xml:space="preserve"> IFERROR( AH140 / AG140 - 1, "-" )</f>
        <v>0.15736633981505777</v>
      </c>
      <c r="AL140" s="228">
        <f xml:space="preserve"> IF( OR( ISBLANK( AG140 ), ISBLANK( AH140 ) ), 0, IFERROR( AJ140 - AI140, 0 ) )</f>
        <v>1</v>
      </c>
      <c r="AN140" s="101">
        <f xml:space="preserve"> _xlfn.IFNA( VLOOKUP( $C140, CALCS│Outcomes!$C$320:$L$330, MATCH( AN$121, CALCS│Outcomes!$C$2:$L$2, 0 ), 0 ), "-" )</f>
        <v>39</v>
      </c>
      <c r="AO140" s="101">
        <f xml:space="preserve"> _xlfn.IFNA( VLOOKUP( $C140, CALCS│Outcomes!$C$320:$L$330, MATCH( AO$121, CALCS│Outcomes!$C$2:$L$2, 0 ), 0 ), "-" )</f>
        <v>110</v>
      </c>
      <c r="AP140" s="230">
        <f t="shared" si="57"/>
        <v>1</v>
      </c>
      <c r="AQ140" s="230">
        <f t="shared" si="57"/>
        <v>1</v>
      </c>
      <c r="AR140" s="242">
        <f xml:space="preserve"> IFERROR( AO140 / AN140 - 1, "-" )</f>
        <v>1.8205128205128207</v>
      </c>
      <c r="AS140" s="228">
        <f xml:space="preserve"> IF( OR( ISBLANK( AN140 ), ISBLANK( AO140 ) ), 0, IFERROR( AQ140 - AP140, 0 ) )</f>
        <v>0</v>
      </c>
    </row>
    <row r="141" spans="3:45" outlineLevel="1" x14ac:dyDescent="0.25">
      <c r="C141" s="8" t="s">
        <v>104</v>
      </c>
      <c r="E141" s="46">
        <f xml:space="preserve"> VLOOKUP( $C141, CALCS│Outcomes!$C$55:$L$71, MATCH( E$121, CALCS│Outcomes!$C$2:$L$2, 0 ), 0 )</f>
        <v>11.720889107515424</v>
      </c>
      <c r="F141" s="46">
        <f xml:space="preserve"> VLOOKUP( $C141, CALCS│Outcomes!$C$55:$L$71, MATCH( F$121, CALCS│Outcomes!$C$2:$L$2, 0 ), 0 )</f>
        <v>9.656230861999493</v>
      </c>
      <c r="G141" s="228">
        <f t="shared" si="53"/>
        <v>1</v>
      </c>
      <c r="H141" s="228">
        <f t="shared" si="53"/>
        <v>1</v>
      </c>
      <c r="I141" s="232">
        <f xml:space="preserve"> F141 / E141 - 1</f>
        <v>-0.17615201599271801</v>
      </c>
      <c r="J141" s="228">
        <f xml:space="preserve"> IF( OR( ISBLANK( E141 ), ISBLANK( F141 ) ), 0, IFERROR( H141 - G141, 0 ) )</f>
        <v>0</v>
      </c>
      <c r="L141" s="46">
        <f xml:space="preserve"> VLOOKUP( $C141, CALCS│Outcomes!$C$80:$L$96, MATCH( L$121, CALCS│Outcomes!$C$2:$L$2, 0 ), 0 )</f>
        <v>158.80506468755738</v>
      </c>
      <c r="M141" s="46">
        <f xml:space="preserve"> VLOOKUP( $C141, CALCS│Outcomes!$C$80:$L$96, MATCH( M$121, CALCS│Outcomes!$C$2:$L$2, 0 ), 0 )</f>
        <v>154.97182242087445</v>
      </c>
      <c r="N141" s="228">
        <f t="shared" si="54"/>
        <v>1</v>
      </c>
      <c r="O141" s="228">
        <f t="shared" si="54"/>
        <v>1</v>
      </c>
      <c r="P141" s="232">
        <f xml:space="preserve"> M141 / L141 - 1</f>
        <v>-2.4138035359418053E-2</v>
      </c>
      <c r="Q141" s="228">
        <f xml:space="preserve"> IF( OR( ISBLANK( L141 ), ISBLANK( M141 ) ), 0, IFERROR( O141 - N141, 0 ) )</f>
        <v>0</v>
      </c>
      <c r="S141" s="46">
        <f xml:space="preserve"> VLOOKUP( $C141, CALCS│Outcomes!$C$150:$L$166, MATCH( S$121, CALCS│Outcomes!$C$2:$L$2, 0 ), 0 )</f>
        <v>12.72</v>
      </c>
      <c r="T141" s="46">
        <f xml:space="preserve"> VLOOKUP( $C141, CALCS│Outcomes!$C$150:$L$166, MATCH( T$121, CALCS│Outcomes!$C$2:$L$2, 0 ), 0 )</f>
        <v>13.6</v>
      </c>
      <c r="U141" s="228">
        <f>IF( S141 &lt;= S$143, 3, IF( S141 &gt;= S$144, 1, 2 ) )</f>
        <v>2</v>
      </c>
      <c r="V141" s="228">
        <f>IF( T141 &lt;= T$143, 3, IF( T141 &gt;= T$144, 1, 2 ) )</f>
        <v>1</v>
      </c>
      <c r="W141" s="232">
        <f xml:space="preserve"> T141 / S141 - 1</f>
        <v>6.9182389937106903E-2</v>
      </c>
      <c r="X141" s="228">
        <f xml:space="preserve"> IF( OR( ISBLANK( S141 ), ISBLANK( T141 ) ), 0, IFERROR( V141 - U141, 0 ) )</f>
        <v>-1</v>
      </c>
      <c r="Z141" s="46">
        <f xml:space="preserve"> VLOOKUP( $C141, CALCS│Outcomes!$C$220:$L$236, MATCH( Z$121, CALCS│Outcomes!$C$2:$L$2, 0 ), 0 )</f>
        <v>0.82</v>
      </c>
      <c r="AA141" s="46">
        <f xml:space="preserve"> VLOOKUP( $C141, CALCS│Outcomes!$C$220:$L$236, MATCH( AA$121, CALCS│Outcomes!$C$2:$L$2, 0 ), 0 )</f>
        <v>0.81</v>
      </c>
      <c r="AB141" s="228">
        <f t="shared" si="55"/>
        <v>3</v>
      </c>
      <c r="AC141" s="228">
        <f t="shared" si="55"/>
        <v>3</v>
      </c>
      <c r="AD141" s="232">
        <f xml:space="preserve"> AA141 / Z141 - 1</f>
        <v>-1.2195121951219412E-2</v>
      </c>
      <c r="AE141" s="228">
        <f xml:space="preserve"> IF( OR( ISBLANK( Z141 ), ISBLANK( AA141 ) ), 0, IFERROR( AC141 - AB141, 0 ) )</f>
        <v>0</v>
      </c>
      <c r="AG141" s="100" t="str">
        <f xml:space="preserve"> _xlfn.IFNA( VLOOKUP( $C141, CALCS│Outcomes!$C$301:$L$311, MATCH( AG$121, CALCS│Outcomes!$C$2:$L$2, 0 ), 0 ), "-" )</f>
        <v>-</v>
      </c>
      <c r="AH141" s="100" t="str">
        <f xml:space="preserve"> _xlfn.IFNA( VLOOKUP( $C141, CALCS│Outcomes!$C$301:$L$311, MATCH( AH$121, CALCS│Outcomes!$C$2:$L$2, 0 ), 0 ), "-" )</f>
        <v>-</v>
      </c>
      <c r="AI141" s="230" t="str">
        <f t="shared" si="56"/>
        <v>-</v>
      </c>
      <c r="AJ141" s="230" t="str">
        <f t="shared" si="56"/>
        <v>-</v>
      </c>
      <c r="AK141" s="242" t="str">
        <f xml:space="preserve"> IFERROR( AH141 / AG141 - 1, "-" )</f>
        <v>-</v>
      </c>
      <c r="AL141" s="228">
        <f xml:space="preserve"> IF( OR( ISBLANK( AG141 ), ISBLANK( AH141 ) ), 0, IFERROR( AJ141 - AI141, 0 ) )</f>
        <v>0</v>
      </c>
      <c r="AN141" s="101" t="str">
        <f xml:space="preserve"> _xlfn.IFNA( VLOOKUP( $C141, CALCS│Outcomes!$C$320:$L$330, MATCH( AN$121, CALCS│Outcomes!$C$2:$L$2, 0 ), 0 ), "-" )</f>
        <v>-</v>
      </c>
      <c r="AO141" s="101" t="str">
        <f xml:space="preserve"> _xlfn.IFNA( VLOOKUP( $C141, CALCS│Outcomes!$C$320:$L$330, MATCH( AO$121, CALCS│Outcomes!$C$2:$L$2, 0 ), 0 ), "-" )</f>
        <v>-</v>
      </c>
      <c r="AP141" s="230" t="str">
        <f t="shared" si="57"/>
        <v>-</v>
      </c>
      <c r="AQ141" s="230" t="str">
        <f t="shared" si="57"/>
        <v>-</v>
      </c>
      <c r="AR141" s="242" t="str">
        <f xml:space="preserve"> IFERROR( AO141 / AN141 - 1, "-" )</f>
        <v>-</v>
      </c>
      <c r="AS141" s="228">
        <f xml:space="preserve"> IF( OR( ISBLANK( AN141 ), ISBLANK( AO141 ) ), 0, IFERROR( AQ141 - AP141, 0 ) )</f>
        <v>0</v>
      </c>
    </row>
    <row r="142" spans="3:45" outlineLevel="1" x14ac:dyDescent="0.25">
      <c r="L142" s="83"/>
      <c r="M142" s="83"/>
      <c r="N142" s="83"/>
      <c r="O142" s="83"/>
      <c r="P142" s="83"/>
      <c r="Q142" s="83"/>
    </row>
    <row r="143" spans="3:45" outlineLevel="1" x14ac:dyDescent="0.25">
      <c r="C143" s="18" t="s">
        <v>595</v>
      </c>
      <c r="E143" s="54">
        <f>_xlfn.PERCENTILE.INC(E123:E141, 0.25)</f>
        <v>5.9294040566733095</v>
      </c>
      <c r="F143" s="54">
        <f>_xlfn.PERCENTILE.INC(F123:F141, 0.25)</f>
        <v>5.7878107573147872</v>
      </c>
      <c r="G143" s="103"/>
      <c r="H143" s="103"/>
      <c r="I143" s="103"/>
      <c r="J143" s="103"/>
      <c r="L143" s="54">
        <f>_xlfn.PERCENTILE.INC(L123:L141, 0.25)</f>
        <v>136.40704019243358</v>
      </c>
      <c r="M143" s="54">
        <f>_xlfn.PERCENTILE.INC(M123:M141, 0.25)</f>
        <v>134.96443658575174</v>
      </c>
      <c r="N143" s="103"/>
      <c r="O143" s="103"/>
      <c r="P143" s="103"/>
      <c r="Q143" s="103"/>
      <c r="S143" s="54">
        <f>_xlfn.PERCENTILE.INC(S123:S141, 0.25)</f>
        <v>7.6297878074703913</v>
      </c>
      <c r="T143" s="54">
        <f>_xlfn.PERCENTILE.INC(T123:T141, 0.25)</f>
        <v>7.25</v>
      </c>
      <c r="U143" s="103"/>
      <c r="V143" s="103"/>
      <c r="W143" s="103"/>
      <c r="X143" s="103"/>
      <c r="Z143" s="54">
        <f>_xlfn.PERCENTILE.INC(Z123:Z141, 0.25)</f>
        <v>1</v>
      </c>
      <c r="AA143" s="54">
        <f>_xlfn.PERCENTILE.INC(AA123:AA141, 0.25)</f>
        <v>1.0630397570403092</v>
      </c>
      <c r="AB143" s="103"/>
      <c r="AC143" s="103"/>
      <c r="AD143" s="103"/>
      <c r="AE143" s="103"/>
      <c r="AG143" s="54">
        <f>_xlfn.PERCENTILE.INC(AG123:AG141, 0.25)</f>
        <v>1.4326337971918779</v>
      </c>
      <c r="AH143" s="54">
        <f>_xlfn.PERCENTILE.INC(AH123:AH141, 0.25)</f>
        <v>1.6226813207052642</v>
      </c>
      <c r="AI143" s="103"/>
      <c r="AJ143" s="103"/>
      <c r="AK143" s="103"/>
      <c r="AL143" s="103"/>
      <c r="AN143" s="102">
        <f>_xlfn.PERCENTILE.INC(AN123:AN141, 0.25)</f>
        <v>24</v>
      </c>
      <c r="AO143" s="102">
        <f>_xlfn.PERCENTILE.INC(AO123:AO141, 0.25)</f>
        <v>25.619999999999997</v>
      </c>
      <c r="AP143" s="323"/>
    </row>
    <row r="144" spans="3:45" outlineLevel="1" x14ac:dyDescent="0.25">
      <c r="C144" s="18" t="s">
        <v>596</v>
      </c>
      <c r="E144" s="54">
        <f>_xlfn.PERCENTILE.INC(E123:E141, 0.75)</f>
        <v>9.1151018713373038</v>
      </c>
      <c r="F144" s="54">
        <f>_xlfn.PERCENTILE.INC(F123:F141, 0.75)</f>
        <v>8.5953317154808886</v>
      </c>
      <c r="G144" s="103"/>
      <c r="H144" s="103"/>
      <c r="I144" s="103"/>
      <c r="J144" s="103"/>
      <c r="L144" s="54">
        <f>_xlfn.PERCENTILE.INC(L123:L141, 0.75)</f>
        <v>153.85283474289486</v>
      </c>
      <c r="M144" s="54">
        <f>_xlfn.PERCENTILE.INC(M123:M141, 0.75)</f>
        <v>152.65384530719879</v>
      </c>
      <c r="N144" s="103"/>
      <c r="O144" s="103"/>
      <c r="P144" s="103"/>
      <c r="Q144" s="103"/>
      <c r="S144" s="54">
        <f>_xlfn.PERCENTILE.INC(S123:S141, 0.75)</f>
        <v>14.608333333333331</v>
      </c>
      <c r="T144" s="54">
        <f>_xlfn.PERCENTILE.INC(T123:T141, 0.75)</f>
        <v>13.6</v>
      </c>
      <c r="U144" s="103"/>
      <c r="V144" s="103"/>
      <c r="W144" s="103"/>
      <c r="X144" s="103"/>
      <c r="Z144" s="54">
        <f>_xlfn.PERCENTILE.INC(Z123:Z141, 0.75)</f>
        <v>1.665</v>
      </c>
      <c r="AA144" s="54">
        <f>_xlfn.PERCENTILE.INC(AA123:AA141, 0.75)</f>
        <v>1.59</v>
      </c>
      <c r="AB144" s="103"/>
      <c r="AC144" s="103"/>
      <c r="AD144" s="103"/>
      <c r="AE144" s="103"/>
      <c r="AG144" s="54">
        <f>_xlfn.PERCENTILE.INC(AG123:AG141, 0.75)</f>
        <v>1.9580760317399595</v>
      </c>
      <c r="AH144" s="54">
        <f>_xlfn.PERCENTILE.INC(AH123:AH141, 0.75)</f>
        <v>2.6416846895033514</v>
      </c>
      <c r="AI144" s="103"/>
      <c r="AJ144" s="103"/>
      <c r="AK144" s="103"/>
      <c r="AL144" s="103"/>
      <c r="AN144" s="102">
        <f>_xlfn.PERCENTILE.INC(AN123:AN141, 0.75)</f>
        <v>39</v>
      </c>
      <c r="AO144" s="102">
        <f>_xlfn.PERCENTILE.INC(AO123:AO141, 0.75)</f>
        <v>51.4</v>
      </c>
      <c r="AP144" s="323"/>
    </row>
    <row r="146" spans="2:46" ht="13" x14ac:dyDescent="0.3">
      <c r="B146" s="17" t="s">
        <v>25</v>
      </c>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row>
  </sheetData>
  <mergeCells count="31">
    <mergeCell ref="E119:J119"/>
    <mergeCell ref="E4:I4"/>
    <mergeCell ref="L4:P4"/>
    <mergeCell ref="E33:F33"/>
    <mergeCell ref="E5:F5"/>
    <mergeCell ref="G5:I5"/>
    <mergeCell ref="L5:M5"/>
    <mergeCell ref="N5:P5"/>
    <mergeCell ref="E61:I61"/>
    <mergeCell ref="E62:F62"/>
    <mergeCell ref="G62:J62"/>
    <mergeCell ref="G91:J91"/>
    <mergeCell ref="E91:F91"/>
    <mergeCell ref="E90:J90"/>
    <mergeCell ref="AN119:AS119"/>
    <mergeCell ref="AG119:AL119"/>
    <mergeCell ref="Z119:AE119"/>
    <mergeCell ref="S119:X119"/>
    <mergeCell ref="L119:Q119"/>
    <mergeCell ref="E120:F120"/>
    <mergeCell ref="G120:J120"/>
    <mergeCell ref="L120:M120"/>
    <mergeCell ref="N120:Q120"/>
    <mergeCell ref="S120:T120"/>
    <mergeCell ref="AN120:AO120"/>
    <mergeCell ref="AP120:AS120"/>
    <mergeCell ref="U120:X120"/>
    <mergeCell ref="Z120:AA120"/>
    <mergeCell ref="AB120:AE120"/>
    <mergeCell ref="AG120:AH120"/>
    <mergeCell ref="AI120:AL1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79998168889431442"/>
    <outlinePr summaryBelow="0"/>
  </sheetPr>
  <dimension ref="B2:O100"/>
  <sheetViews>
    <sheetView showGridLines="0" zoomScaleNormal="100" workbookViewId="0"/>
  </sheetViews>
  <sheetFormatPr defaultColWidth="9" defaultRowHeight="12.5" outlineLevelRow="1" x14ac:dyDescent="0.25"/>
  <cols>
    <col min="1" max="2" width="2.58203125" style="8" customWidth="1"/>
    <col min="3" max="6" width="10" style="8" customWidth="1"/>
    <col min="7" max="9" width="9" style="8"/>
    <col min="10" max="10" width="15.5" style="8" bestFit="1" customWidth="1"/>
    <col min="11" max="11" width="13.58203125" style="8" bestFit="1" customWidth="1"/>
    <col min="12" max="12" width="13.58203125" style="8" customWidth="1"/>
    <col min="13" max="14" width="9" style="8"/>
    <col min="15" max="15" width="9" style="8" customWidth="1"/>
    <col min="16" max="16384" width="9" style="8"/>
  </cols>
  <sheetData>
    <row r="2" spans="2:15" ht="13.5" x14ac:dyDescent="0.35">
      <c r="B2" s="9" t="s">
        <v>599</v>
      </c>
      <c r="C2" s="9"/>
      <c r="D2" s="9"/>
      <c r="E2" s="10"/>
      <c r="F2" s="9"/>
      <c r="G2" s="9"/>
      <c r="H2" s="9"/>
      <c r="I2" s="9"/>
      <c r="J2" s="9"/>
      <c r="K2" s="9"/>
      <c r="L2" s="9"/>
      <c r="M2" s="9"/>
      <c r="N2" s="9"/>
      <c r="O2" s="9"/>
    </row>
    <row r="3" spans="2:15" outlineLevel="1" x14ac:dyDescent="0.25"/>
    <row r="4" spans="2:15" ht="13.5" outlineLevel="1" x14ac:dyDescent="0.35">
      <c r="B4" s="32" t="s">
        <v>600</v>
      </c>
      <c r="C4" s="32"/>
      <c r="D4" s="32"/>
      <c r="E4" s="32"/>
      <c r="F4" s="32"/>
      <c r="G4" s="32"/>
      <c r="H4" s="32"/>
      <c r="I4" s="32"/>
      <c r="J4" s="32" t="s">
        <v>601</v>
      </c>
      <c r="K4" s="32"/>
      <c r="L4" s="32"/>
      <c r="M4" s="32"/>
      <c r="N4" s="32"/>
      <c r="O4" s="32"/>
    </row>
    <row r="5" spans="2:15" outlineLevel="1" x14ac:dyDescent="0.25"/>
    <row r="6" spans="2:15" ht="57" customHeight="1" outlineLevel="1" x14ac:dyDescent="0.25">
      <c r="C6" s="257" t="s">
        <v>223</v>
      </c>
      <c r="D6" s="257" t="str">
        <f xml:space="preserve"> "Cumulative performance 2015-" &amp; RIGHT( Last_year, 2 )</f>
        <v>Cumulative performance 2015-19</v>
      </c>
      <c r="E6" s="257" t="str">
        <f xml:space="preserve"> "Improvement to 2015-" &amp; RIGHT( Year, 2 )</f>
        <v>Improvement to 2015-20</v>
      </c>
      <c r="J6" s="248"/>
      <c r="K6" s="289" t="s">
        <v>602</v>
      </c>
      <c r="L6" s="289" t="s">
        <v>603</v>
      </c>
      <c r="M6" s="416" t="str">
        <f xml:space="preserve"> "Cumulative performance 2015-" &amp; RIGHT( Year, 2 )</f>
        <v>Cumulative performance 2015-20</v>
      </c>
      <c r="N6" s="416"/>
    </row>
    <row r="7" spans="2:15" s="79" customFormat="1" ht="16.149999999999999" customHeight="1" outlineLevel="1" x14ac:dyDescent="0.3">
      <c r="B7" s="283"/>
      <c r="C7" s="178" t="s">
        <v>80</v>
      </c>
      <c r="D7" s="225">
        <f xml:space="preserve"> VLOOKUP( $C7, 'CALCS│Wholesale Totex'!$C$165:$I$181, MATCH( Last_year, 'CALCS│Wholesale Totex'!$C$2:$I$2, 0 ), 0 )</f>
        <v>-9.6219081319757385E-2</v>
      </c>
      <c r="E7" s="179">
        <f t="shared" ref="E7:E23" si="0" xml:space="preserve"> IFERROR( ( N7 - D7 ) / ABS( D7 ), "-" )</f>
        <v>0.15284991509600032</v>
      </c>
      <c r="F7" s="283"/>
      <c r="G7" s="283"/>
      <c r="H7" s="283"/>
      <c r="I7" s="321"/>
      <c r="J7" s="258" t="str">
        <f xml:space="preserve"> VLOOKUP( $C7, 'Map &amp; Key'!$C$78:$D$98, 2, 0 )</f>
        <v>Anglian Water</v>
      </c>
      <c r="K7" s="249">
        <f xml:space="preserve"> VLOOKUP( $C7, 'CALCS│Wholesale Totex'!$C$99:$I$115, MATCH( Year, 'CALCS│Wholesale Totex'!$C$2:$I$2, 0 ), 0 )</f>
        <v>3821.17</v>
      </c>
      <c r="L7" s="249">
        <f xml:space="preserve"> VLOOKUP( $C7, 'CALCS│Wholesale Totex'!$C$121:$I$137, MATCH( Year, 'CALCS│Wholesale Totex'!$C$2:$I$2, 0 ), 0 )</f>
        <v>4160.2829999999994</v>
      </c>
      <c r="M7" s="111" t="str">
        <f xml:space="preserve"> IF( ABS( E7 ) &lt;= 0.01, 'Map &amp; Key'!$G$71, IF( E7 &gt; 0, 'Map &amp; Key'!$G$70, 'Map &amp; Key'!$G$72 ) )</f>
        <v>▼</v>
      </c>
      <c r="N7" s="277">
        <f xml:space="preserve"> VLOOKUP( $C7, 'CALCS│Wholesale Totex'!$C$165:$I$181, MATCH( Year, 'CALCS│Wholesale Totex'!$C$2:$I$2, 0 ), 0 )</f>
        <v>-8.1512002909417319E-2</v>
      </c>
      <c r="O7" s="283"/>
    </row>
    <row r="8" spans="2:15" s="79" customFormat="1" ht="16.149999999999999" customHeight="1" outlineLevel="1" x14ac:dyDescent="0.3">
      <c r="B8" s="283"/>
      <c r="C8" s="178" t="s">
        <v>82</v>
      </c>
      <c r="D8" s="225">
        <f xml:space="preserve"> VLOOKUP( $C8, 'CALCS│Wholesale Totex'!$C$165:$I$181, MATCH( Last_year, 'CALCS│Wholesale Totex'!$C$2:$I$2, 0 ), 0 )</f>
        <v>4.2841076603991959E-2</v>
      </c>
      <c r="E8" s="179">
        <f t="shared" si="0"/>
        <v>0.43142979433736689</v>
      </c>
      <c r="F8" s="283"/>
      <c r="G8" s="283"/>
      <c r="H8" s="283"/>
      <c r="I8" s="321"/>
      <c r="J8" s="258" t="str">
        <f xml:space="preserve"> VLOOKUP( $C8, 'Map &amp; Key'!$C$78:$D$98, 2, 0 )</f>
        <v>Dŵr Cymru</v>
      </c>
      <c r="K8" s="259">
        <f xml:space="preserve"> VLOOKUP( $C8, 'CALCS│Wholesale Totex'!$C$99:$I$115, MATCH( Year, 'CALCS│Wholesale Totex'!$C$2:$I$2, 0 ), 0 )</f>
        <v>2708.1210000000001</v>
      </c>
      <c r="L8" s="259">
        <f xml:space="preserve"> VLOOKUP( $C8, 'CALCS│Wholesale Totex'!$C$121:$I$137, MATCH( Year, 'CALCS│Wholesale Totex'!$C$2:$I$2, 0 ), 0 )</f>
        <v>2551.6440000000002</v>
      </c>
      <c r="M8" s="112" t="str">
        <f xml:space="preserve"> IF( ABS( E8 ) &lt;= 0.01, 'Map &amp; Key'!$G$71, IF( E8 &gt; 0, 'Map &amp; Key'!$G$70, 'Map &amp; Key'!$G$72 ) )</f>
        <v>▼</v>
      </c>
      <c r="N8" s="277">
        <f xml:space="preserve"> VLOOKUP( $C8, 'CALCS│Wholesale Totex'!$C$165:$I$181, MATCH( Year, 'CALCS│Wholesale Totex'!$C$2:$I$2, 0 ), 0 )</f>
        <v>6.1323993472443591E-2</v>
      </c>
      <c r="O8" s="283"/>
    </row>
    <row r="9" spans="2:15" s="79" customFormat="1" ht="16.149999999999999" customHeight="1" outlineLevel="1" x14ac:dyDescent="0.3">
      <c r="B9" s="283"/>
      <c r="C9" s="178" t="s">
        <v>85</v>
      </c>
      <c r="D9" s="225">
        <f xml:space="preserve"> VLOOKUP( $C9, 'CALCS│Wholesale Totex'!$C$165:$I$181, MATCH( Last_year, 'CALCS│Wholesale Totex'!$C$2:$I$2, 0 ), 0 )</f>
        <v>-3.0323244428867028E-2</v>
      </c>
      <c r="E9" s="179">
        <f t="shared" si="0"/>
        <v>1.6072817545676761</v>
      </c>
      <c r="F9" s="283"/>
      <c r="G9" s="283"/>
      <c r="H9" s="283"/>
      <c r="I9" s="321"/>
      <c r="J9" s="258" t="str">
        <f xml:space="preserve"> VLOOKUP( $C9, 'Map &amp; Key'!$C$78:$D$98, 2, 0 )</f>
        <v>Hafren Dyfrdwy</v>
      </c>
      <c r="K9" s="249">
        <f xml:space="preserve"> VLOOKUP( $C9, 'CALCS│Wholesale Totex'!$C$99:$I$115, MATCH( Year, 'CALCS│Wholesale Totex'!$C$2:$I$2, 0 ), 0 )</f>
        <v>114.86699999999999</v>
      </c>
      <c r="L9" s="249">
        <f xml:space="preserve"> VLOOKUP( $C9, 'CALCS│Wholesale Totex'!$C$121:$I$137, MATCH( Year, 'CALCS│Wholesale Totex'!$C$2:$I$2, 0 ), 0 )</f>
        <v>112.78999999999999</v>
      </c>
      <c r="M9" s="111" t="str">
        <f xml:space="preserve"> IF( ABS( E9 ) &lt;= 0.01, 'Map &amp; Key'!$G$71, IF( E9 &gt; 0, 'Map &amp; Key'!$G$70, 'Map &amp; Key'!$G$72 ) )</f>
        <v>▼</v>
      </c>
      <c r="N9" s="277">
        <f xml:space="preserve"> VLOOKUP( $C9, 'CALCS│Wholesale Totex'!$C$165:$I$181, MATCH( Year, 'CALCS│Wholesale Totex'!$C$2:$I$2, 0 ), 0 )</f>
        <v>1.8414753080946877E-2</v>
      </c>
      <c r="O9" s="283"/>
    </row>
    <row r="10" spans="2:15" s="79" customFormat="1" ht="16.149999999999999" customHeight="1" outlineLevel="1" x14ac:dyDescent="0.3">
      <c r="B10" s="283"/>
      <c r="C10" s="178" t="s">
        <v>87</v>
      </c>
      <c r="D10" s="225">
        <f xml:space="preserve"> VLOOKUP( $C10, 'CALCS│Wholesale Totex'!$C$165:$I$181, MATCH( Last_year, 'CALCS│Wholesale Totex'!$C$2:$I$2, 0 ), 0 )</f>
        <v>-9.0438646902882142E-2</v>
      </c>
      <c r="E10" s="179">
        <f t="shared" si="0"/>
        <v>0.29698147290653698</v>
      </c>
      <c r="F10" s="283"/>
      <c r="G10" s="283"/>
      <c r="H10" s="283"/>
      <c r="I10" s="321"/>
      <c r="J10" s="258" t="str">
        <f xml:space="preserve"> VLOOKUP( $C10, 'Map &amp; Key'!$C$78:$D$98, 2, 0 )</f>
        <v>Northumbrian Water</v>
      </c>
      <c r="K10" s="259">
        <f xml:space="preserve"> VLOOKUP( $C10, 'CALCS│Wholesale Totex'!$C$99:$I$115, MATCH( Year, 'CALCS│Wholesale Totex'!$C$2:$I$2, 0 ), 0 )</f>
        <v>2151.85</v>
      </c>
      <c r="L10" s="259">
        <f xml:space="preserve"> VLOOKUP( $C10, 'CALCS│Wholesale Totex'!$C$121:$I$137, MATCH( Year, 'CALCS│Wholesale Totex'!$C$2:$I$2, 0 ), 0 )</f>
        <v>2297.9540183749409</v>
      </c>
      <c r="M10" s="112" t="str">
        <f xml:space="preserve"> IF( ABS( E10 ) &lt;= 0.01, 'Map &amp; Key'!$G$71, IF( E10 &gt; 0, 'Map &amp; Key'!$G$70, 'Map &amp; Key'!$G$72 ) )</f>
        <v>▼</v>
      </c>
      <c r="N10" s="277">
        <f xml:space="preserve"> VLOOKUP( $C10, 'CALCS│Wholesale Totex'!$C$165:$I$181, MATCH( Year, 'CALCS│Wholesale Totex'!$C$2:$I$2, 0 ), 0 )</f>
        <v>-6.3580044337989985E-2</v>
      </c>
      <c r="O10" s="283"/>
    </row>
    <row r="11" spans="2:15" s="79" customFormat="1" ht="16.149999999999999" customHeight="1" outlineLevel="1" x14ac:dyDescent="0.3">
      <c r="B11" s="283"/>
      <c r="C11" s="178" t="s">
        <v>89</v>
      </c>
      <c r="D11" s="225">
        <f xml:space="preserve"> VLOOKUP( $C11, 'CALCS│Wholesale Totex'!$C$165:$I$181, MATCH( Last_year, 'CALCS│Wholesale Totex'!$C$2:$I$2, 0 ), 0 )</f>
        <v>-4.8201963435789572E-2</v>
      </c>
      <c r="E11" s="179">
        <f t="shared" si="0"/>
        <v>0.88893452314542198</v>
      </c>
      <c r="F11" s="283"/>
      <c r="G11" s="283"/>
      <c r="H11" s="283"/>
      <c r="I11" s="321"/>
      <c r="J11" s="258" t="str">
        <f xml:space="preserve"> VLOOKUP( $C11, 'Map &amp; Key'!$C$78:$D$98, 2, 0 )</f>
        <v>Severn Trent Water</v>
      </c>
      <c r="K11" s="249">
        <f xml:space="preserve"> VLOOKUP( $C11, 'CALCS│Wholesale Totex'!$C$99:$I$115, MATCH( Year, 'CALCS│Wholesale Totex'!$C$2:$I$2, 0 ), 0 )</f>
        <v>5475.0779999999995</v>
      </c>
      <c r="L11" s="249">
        <f xml:space="preserve"> VLOOKUP( $C11, 'CALCS│Wholesale Totex'!$C$121:$I$137, MATCH( Year, 'CALCS│Wholesale Totex'!$C$2:$I$2, 0 ), 0 )</f>
        <v>5504.5470000000005</v>
      </c>
      <c r="M11" s="111" t="str">
        <f xml:space="preserve"> IF( ABS( E11 ) &lt;= 0.01, 'Map &amp; Key'!$G$71, IF( E11 &gt; 0, 'Map &amp; Key'!$G$70, 'Map &amp; Key'!$G$72 ) )</f>
        <v>▼</v>
      </c>
      <c r="N11" s="277">
        <f xml:space="preserve"> VLOOKUP( $C11, 'CALCS│Wholesale Totex'!$C$165:$I$181, MATCH( Year, 'CALCS│Wholesale Totex'!$C$2:$I$2, 0 ), 0 )</f>
        <v>-5.3535740543229002E-3</v>
      </c>
      <c r="O11" s="283"/>
    </row>
    <row r="12" spans="2:15" s="79" customFormat="1" ht="16.149999999999999" customHeight="1" outlineLevel="1" x14ac:dyDescent="0.3">
      <c r="B12" s="283"/>
      <c r="C12" s="178" t="s">
        <v>91</v>
      </c>
      <c r="D12" s="225">
        <f xml:space="preserve"> VLOOKUP( $C12, 'CALCS│Wholesale Totex'!$C$165:$I$181, MATCH( Last_year, 'CALCS│Wholesale Totex'!$C$2:$I$2, 0 ), 0 )</f>
        <v>-0.16108741233461063</v>
      </c>
      <c r="E12" s="179">
        <f t="shared" si="0"/>
        <v>3.6558963122188273E-2</v>
      </c>
      <c r="F12" s="283"/>
      <c r="G12" s="283"/>
      <c r="H12" s="283"/>
      <c r="I12" s="321"/>
      <c r="J12" s="258" t="str">
        <f xml:space="preserve"> VLOOKUP( $C12, 'Map &amp; Key'!$C$78:$D$98, 2, 0 )</f>
        <v>South West Water</v>
      </c>
      <c r="K12" s="259">
        <f xml:space="preserve"> VLOOKUP( $C12, 'CALCS│Wholesale Totex'!$C$99:$I$115, MATCH( Year, 'CALCS│Wholesale Totex'!$C$2:$I$2, 0 ), 0 )</f>
        <v>1424.4</v>
      </c>
      <c r="L12" s="259">
        <f xml:space="preserve"> VLOOKUP( $C12, 'CALCS│Wholesale Totex'!$C$121:$I$137, MATCH( Year, 'CALCS│Wholesale Totex'!$C$2:$I$2, 0 ), 0 )</f>
        <v>1686.076</v>
      </c>
      <c r="M12" s="112" t="str">
        <f xml:space="preserve"> IF( ABS( E12 ) &lt;= 0.01, 'Map &amp; Key'!$G$71, IF( E12 &gt; 0, 'Map &amp; Key'!$G$70, 'Map &amp; Key'!$G$72 ) )</f>
        <v>▼</v>
      </c>
      <c r="N12" s="277">
        <f xml:space="preserve"> VLOOKUP( $C12, 'CALCS│Wholesale Totex'!$C$165:$I$181, MATCH( Year, 'CALCS│Wholesale Totex'!$C$2:$I$2, 0 ), 0 )</f>
        <v>-0.15519822356762086</v>
      </c>
      <c r="O12" s="283"/>
    </row>
    <row r="13" spans="2:15" s="79" customFormat="1" ht="16.149999999999999" customHeight="1" outlineLevel="1" x14ac:dyDescent="0.3">
      <c r="B13" s="283"/>
      <c r="C13" s="178" t="s">
        <v>94</v>
      </c>
      <c r="D13" s="225">
        <f xml:space="preserve"> VLOOKUP( $C13, 'CALCS│Wholesale Totex'!$C$165:$I$181, MATCH( Last_year, 'CALCS│Wholesale Totex'!$C$2:$I$2, 0 ), 0 )</f>
        <v>-7.6862866431460994E-2</v>
      </c>
      <c r="E13" s="179">
        <f t="shared" si="0"/>
        <v>0.93593446206799091</v>
      </c>
      <c r="F13" s="283"/>
      <c r="G13" s="283"/>
      <c r="H13" s="283"/>
      <c r="I13" s="321"/>
      <c r="J13" s="258" t="str">
        <f xml:space="preserve"> VLOOKUP( $C13, 'Map &amp; Key'!$C$78:$D$98, 2, 0 )</f>
        <v>Southern Water</v>
      </c>
      <c r="K13" s="249">
        <f xml:space="preserve"> VLOOKUP( $C13, 'CALCS│Wholesale Totex'!$C$99:$I$115, MATCH( Year, 'CALCS│Wholesale Totex'!$C$2:$I$2, 0 ), 0 )</f>
        <v>2613.451</v>
      </c>
      <c r="L13" s="249">
        <f xml:space="preserve"> VLOOKUP( $C13, 'CALCS│Wholesale Totex'!$C$121:$I$137, MATCH( Year, 'CALCS│Wholesale Totex'!$C$2:$I$2, 0 ), 0 )</f>
        <v>2626.384</v>
      </c>
      <c r="M13" s="111" t="str">
        <f xml:space="preserve"> IF( ABS( E13 ) &lt;= 0.01, 'Map &amp; Key'!$G$71, IF( E13 &gt; 0, 'Map &amp; Key'!$G$70, 'Map &amp; Key'!$G$72 ) )</f>
        <v>▼</v>
      </c>
      <c r="N13" s="277">
        <f xml:space="preserve"> VLOOKUP( $C13, 'CALCS│Wholesale Totex'!$C$165:$I$181, MATCH( Year, 'CALCS│Wholesale Totex'!$C$2:$I$2, 0 ), 0 )</f>
        <v>-4.9242608849277151E-3</v>
      </c>
      <c r="O13" s="283"/>
    </row>
    <row r="14" spans="2:15" s="79" customFormat="1" ht="16.149999999999999" customHeight="1" outlineLevel="1" x14ac:dyDescent="0.3">
      <c r="B14" s="283"/>
      <c r="C14" s="178" t="s">
        <v>96</v>
      </c>
      <c r="D14" s="225">
        <f xml:space="preserve"> VLOOKUP( $C14, 'CALCS│Wholesale Totex'!$C$165:$I$181, MATCH( Last_year, 'CALCS│Wholesale Totex'!$C$2:$I$2, 0 ), 0 )</f>
        <v>6.3487531339175687E-2</v>
      </c>
      <c r="E14" s="179">
        <f t="shared" si="0"/>
        <v>0.39553766793355566</v>
      </c>
      <c r="F14" s="283"/>
      <c r="G14" s="283"/>
      <c r="H14" s="283"/>
      <c r="I14" s="321"/>
      <c r="J14" s="258" t="str">
        <f xml:space="preserve"> VLOOKUP( $C14, 'Map &amp; Key'!$C$78:$D$98, 2, 0 )</f>
        <v>Thames Water</v>
      </c>
      <c r="K14" s="259">
        <f xml:space="preserve"> VLOOKUP( $C14, 'CALCS│Wholesale Totex'!$C$99:$I$115, MATCH( Year, 'CALCS│Wholesale Totex'!$C$2:$I$2, 0 ), 0 )</f>
        <v>8064.7709999999997</v>
      </c>
      <c r="L14" s="259">
        <f xml:space="preserve"> VLOOKUP( $C14, 'CALCS│Wholesale Totex'!$C$121:$I$137, MATCH( Year, 'CALCS│Wholesale Totex'!$C$2:$I$2, 0 ), 0 )</f>
        <v>7408.393</v>
      </c>
      <c r="M14" s="112" t="str">
        <f xml:space="preserve"> IF( ABS( E14 ) &lt;= 0.01, 'Map &amp; Key'!$G$71, IF( E14 &gt; 0, 'Map &amp; Key'!$G$70, 'Map &amp; Key'!$G$72 ) )</f>
        <v>▼</v>
      </c>
      <c r="N14" s="277">
        <f xml:space="preserve"> VLOOKUP( $C14, 'CALCS│Wholesale Totex'!$C$165:$I$181, MATCH( Year, 'CALCS│Wholesale Totex'!$C$2:$I$2, 0 ), 0 )</f>
        <v>8.8599241427931769E-2</v>
      </c>
      <c r="O14" s="283"/>
    </row>
    <row r="15" spans="2:15" s="79" customFormat="1" ht="16.149999999999999" customHeight="1" outlineLevel="1" x14ac:dyDescent="0.3">
      <c r="B15" s="283"/>
      <c r="C15" s="178" t="s">
        <v>98</v>
      </c>
      <c r="D15" s="225">
        <f xml:space="preserve"> VLOOKUP( $C15, 'CALCS│Wholesale Totex'!$C$165:$I$181, MATCH( Last_year, 'CALCS│Wholesale Totex'!$C$2:$I$2, 0 ), 0 )</f>
        <v>7.3268047251425536E-2</v>
      </c>
      <c r="E15" s="179">
        <f t="shared" si="0"/>
        <v>-8.9784639374168723E-2</v>
      </c>
      <c r="F15" s="283"/>
      <c r="G15" s="283"/>
      <c r="H15" s="283"/>
      <c r="I15" s="321"/>
      <c r="J15" s="258" t="str">
        <f xml:space="preserve"> VLOOKUP( $C15, 'Map &amp; Key'!$C$78:$D$98, 2, 0 )</f>
        <v>United Utilities</v>
      </c>
      <c r="K15" s="249">
        <f xml:space="preserve"> VLOOKUP( $C15, 'CALCS│Wholesale Totex'!$C$99:$I$115, MATCH( Year, 'CALCS│Wholesale Totex'!$C$2:$I$2, 0 ), 0 )</f>
        <v>5640.2284685664899</v>
      </c>
      <c r="L15" s="249">
        <f xml:space="preserve"> VLOOKUP( $C15, 'CALCS│Wholesale Totex'!$C$121:$I$137, MATCH( Year, 'CALCS│Wholesale Totex'!$C$2:$I$2, 0 ), 0 )</f>
        <v>5287.6</v>
      </c>
      <c r="M15" s="111" t="str">
        <f xml:space="preserve"> IF( ABS( E15 ) &lt;= 0.01, 'Map &amp; Key'!$G$71, IF( E15 &gt; 0, 'Map &amp; Key'!$G$70, 'Map &amp; Key'!$G$72 ) )</f>
        <v>▲</v>
      </c>
      <c r="N15" s="277">
        <f xml:space="preserve"> VLOOKUP( $C15, 'CALCS│Wholesale Totex'!$C$165:$I$181, MATCH( Year, 'CALCS│Wholesale Totex'!$C$2:$I$2, 0 ), 0 )</f>
        <v>6.668970205130674E-2</v>
      </c>
      <c r="O15" s="283"/>
    </row>
    <row r="16" spans="2:15" s="79" customFormat="1" ht="16.149999999999999" customHeight="1" outlineLevel="1" x14ac:dyDescent="0.3">
      <c r="B16" s="283"/>
      <c r="C16" s="178" t="s">
        <v>100</v>
      </c>
      <c r="D16" s="225">
        <f xml:space="preserve"> VLOOKUP( $C16, 'CALCS│Wholesale Totex'!$C$165:$I$181, MATCH( Last_year, 'CALCS│Wholesale Totex'!$C$2:$I$2, 0 ), 0 )</f>
        <v>-9.9820690770586362E-2</v>
      </c>
      <c r="E16" s="179">
        <f t="shared" si="0"/>
        <v>0.17161779869021676</v>
      </c>
      <c r="F16" s="283"/>
      <c r="G16" s="283"/>
      <c r="H16" s="283"/>
      <c r="I16" s="321"/>
      <c r="J16" s="258" t="str">
        <f xml:space="preserve"> VLOOKUP( $C16, 'Map &amp; Key'!$C$78:$D$98, 2, 0 )</f>
        <v>Wessex Water</v>
      </c>
      <c r="K16" s="259">
        <f xml:space="preserve"> VLOOKUP( $C16, 'CALCS│Wholesale Totex'!$C$99:$I$115, MATCH( Year, 'CALCS│Wholesale Totex'!$C$2:$I$2, 0 ), 0 )</f>
        <v>1622.446756693085</v>
      </c>
      <c r="L16" s="259">
        <f xml:space="preserve"> VLOOKUP( $C16, 'CALCS│Wholesale Totex'!$C$121:$I$137, MATCH( Year, 'CALCS│Wholesale Totex'!$C$2:$I$2, 0 ), 0 )</f>
        <v>1768.6999999999998</v>
      </c>
      <c r="M16" s="112" t="str">
        <f xml:space="preserve"> IF( ABS( E16 ) &lt;= 0.01, 'Map &amp; Key'!$G$71, IF( E16 &gt; 0, 'Map &amp; Key'!$G$70, 'Map &amp; Key'!$G$72 ) )</f>
        <v>▼</v>
      </c>
      <c r="N16" s="277">
        <f xml:space="preserve"> VLOOKUP( $C16, 'CALCS│Wholesale Totex'!$C$165:$I$181, MATCH( Year, 'CALCS│Wholesale Totex'!$C$2:$I$2, 0 ), 0 )</f>
        <v>-8.2689683556801494E-2</v>
      </c>
      <c r="O16" s="283"/>
    </row>
    <row r="17" spans="2:15" s="79" customFormat="1" ht="16.149999999999999" customHeight="1" outlineLevel="1" x14ac:dyDescent="0.3">
      <c r="B17" s="283"/>
      <c r="C17" s="178" t="s">
        <v>102</v>
      </c>
      <c r="D17" s="225">
        <f xml:space="preserve"> VLOOKUP( $C17, 'CALCS│Wholesale Totex'!$C$165:$I$181, MATCH( Last_year, 'CALCS│Wholesale Totex'!$C$2:$I$2, 0 ), 0 )</f>
        <v>-2.5636009393322103E-4</v>
      </c>
      <c r="E17" s="179">
        <f t="shared" si="0"/>
        <v>122.77961708785639</v>
      </c>
      <c r="F17" s="283"/>
      <c r="G17" s="283"/>
      <c r="H17" s="283"/>
      <c r="I17" s="321"/>
      <c r="J17" s="258" t="str">
        <f xml:space="preserve"> VLOOKUP( $C17, 'Map &amp; Key'!$C$78:$D$98, 2, 0 )</f>
        <v>Yorkshire Water</v>
      </c>
      <c r="K17" s="249">
        <f xml:space="preserve"> VLOOKUP( $C17, 'CALCS│Wholesale Totex'!$C$99:$I$115, MATCH( Year, 'CALCS│Wholesale Totex'!$C$2:$I$2, 0 ), 0 )</f>
        <v>3528.7370000000001</v>
      </c>
      <c r="L17" s="249">
        <f xml:space="preserve"> VLOOKUP( $C17, 'CALCS│Wholesale Totex'!$C$121:$I$137, MATCH( Year, 'CALCS│Wholesale Totex'!$C$2:$I$2, 0 ), 0 )</f>
        <v>3421.9070000000002</v>
      </c>
      <c r="M17" s="111" t="str">
        <f xml:space="preserve"> IF( ABS( E17 ) &lt;= 0.01, 'Map &amp; Key'!$G$71, IF( E17 &gt; 0, 'Map &amp; Key'!$G$70, 'Map &amp; Key'!$G$72 ) )</f>
        <v>▼</v>
      </c>
      <c r="N17" s="277">
        <f xml:space="preserve"> VLOOKUP( $C17, 'CALCS│Wholesale Totex'!$C$165:$I$181, MATCH( Year, 'CALCS│Wholesale Totex'!$C$2:$I$2, 0 ), 0 )</f>
        <v>3.1219434075794555E-2</v>
      </c>
      <c r="O17" s="283"/>
    </row>
    <row r="18" spans="2:15" s="79" customFormat="1" ht="16.149999999999999" customHeight="1" outlineLevel="1" x14ac:dyDescent="0.3">
      <c r="B18" s="283"/>
      <c r="C18" s="178" t="s">
        <v>104</v>
      </c>
      <c r="D18" s="225">
        <f xml:space="preserve"> VLOOKUP( $C18, 'CALCS│Wholesale Totex'!$C$165:$I$181, MATCH( Last_year, 'CALCS│Wholesale Totex'!$C$2:$I$2, 0 ), 0 )</f>
        <v>-2.6393146865164286E-3</v>
      </c>
      <c r="E18" s="179">
        <f t="shared" si="0"/>
        <v>9.3776537761309999</v>
      </c>
      <c r="F18" s="283"/>
      <c r="G18" s="283"/>
      <c r="H18" s="283"/>
      <c r="I18" s="321"/>
      <c r="J18" s="258" t="str">
        <f xml:space="preserve"> VLOOKUP( $C18, 'Map &amp; Key'!$C$78:$D$98, 2, 0 )</f>
        <v>Affinity Water</v>
      </c>
      <c r="K18" s="259">
        <f xml:space="preserve"> VLOOKUP( $C18, 'CALCS│Wholesale Totex'!$C$99:$I$115, MATCH( Year, 'CALCS│Wholesale Totex'!$C$2:$I$2, 0 ), 0 )</f>
        <v>1086.5645788874499</v>
      </c>
      <c r="L18" s="259">
        <f xml:space="preserve"> VLOOKUP( $C18, 'CALCS│Wholesale Totex'!$C$121:$I$137, MATCH( Year, 'CALCS│Wholesale Totex'!$C$2:$I$2, 0 ), 0 )</f>
        <v>1063.059</v>
      </c>
      <c r="M18" s="112" t="str">
        <f xml:space="preserve"> IF( ABS( E18 ) &lt;= 0.01, 'Map &amp; Key'!$G$71, IF( E18 &gt; 0, 'Map &amp; Key'!$G$70, 'Map &amp; Key'!$G$72 ) )</f>
        <v>▼</v>
      </c>
      <c r="N18" s="277">
        <f xml:space="preserve"> VLOOKUP( $C18, 'CALCS│Wholesale Totex'!$C$165:$I$181, MATCH( Year, 'CALCS│Wholesale Totex'!$C$2:$I$2, 0 ), 0 )</f>
        <v>2.2111264649892368E-2</v>
      </c>
      <c r="O18" s="283"/>
    </row>
    <row r="19" spans="2:15" s="79" customFormat="1" ht="16.149999999999999" customHeight="1" outlineLevel="1" x14ac:dyDescent="0.3">
      <c r="B19" s="283"/>
      <c r="C19" s="178" t="s">
        <v>106</v>
      </c>
      <c r="D19" s="225">
        <f xml:space="preserve"> VLOOKUP( $C19, 'CALCS│Wholesale Totex'!$C$165:$I$181, MATCH( Last_year, 'CALCS│Wholesale Totex'!$C$2:$I$2, 0 ), 0 )</f>
        <v>-4.2356191509909283E-2</v>
      </c>
      <c r="E19" s="179">
        <f t="shared" si="0"/>
        <v>1.2571472993779524</v>
      </c>
      <c r="F19" s="283"/>
      <c r="G19" s="283"/>
      <c r="H19" s="283"/>
      <c r="I19" s="321"/>
      <c r="J19" s="258" t="str">
        <f xml:space="preserve"> VLOOKUP( $C19, 'Map &amp; Key'!$C$78:$D$98, 2, 0 )</f>
        <v>Bristol Water</v>
      </c>
      <c r="K19" s="249">
        <f xml:space="preserve"> VLOOKUP( $C19, 'CALCS│Wholesale Totex'!$C$99:$I$115, MATCH( Year, 'CALCS│Wholesale Totex'!$C$2:$I$2, 0 ), 0 )</f>
        <v>426.46905587280889</v>
      </c>
      <c r="L19" s="249">
        <f xml:space="preserve"> VLOOKUP( $C19, 'CALCS│Wholesale Totex'!$C$121:$I$137, MATCH( Year, 'CALCS│Wholesale Totex'!$C$2:$I$2, 0 ), 0 )</f>
        <v>421.87409592317238</v>
      </c>
      <c r="M19" s="111" t="str">
        <f xml:space="preserve"> IF( ABS( E19 ) &lt;= 0.01, 'Map &amp; Key'!$G$71, IF( E19 &gt; 0, 'Map &amp; Key'!$G$70, 'Map &amp; Key'!$G$72 ) )</f>
        <v>▼</v>
      </c>
      <c r="N19" s="277">
        <f xml:space="preserve"> VLOOKUP( $C19, 'CALCS│Wholesale Totex'!$C$165:$I$181, MATCH( Year, 'CALCS│Wholesale Totex'!$C$2:$I$2, 0 ), 0 )</f>
        <v>1.0891780258708531E-2</v>
      </c>
      <c r="O19" s="283"/>
    </row>
    <row r="20" spans="2:15" s="79" customFormat="1" ht="16.149999999999999" customHeight="1" outlineLevel="1" x14ac:dyDescent="0.3">
      <c r="B20" s="283"/>
      <c r="C20" s="178" t="s">
        <v>108</v>
      </c>
      <c r="D20" s="225">
        <f xml:space="preserve"> VLOOKUP( $C20, 'CALCS│Wholesale Totex'!$C$165:$I$181, MATCH( Last_year, 'CALCS│Wholesale Totex'!$C$2:$I$2, 0 ), 0 )</f>
        <v>-3.8438449201215037E-2</v>
      </c>
      <c r="E20" s="179">
        <f t="shared" si="0"/>
        <v>0.96655871706962282</v>
      </c>
      <c r="F20" s="283"/>
      <c r="G20" s="283"/>
      <c r="H20" s="283"/>
      <c r="I20" s="321"/>
      <c r="J20" s="258" t="str">
        <f xml:space="preserve"> VLOOKUP( $C20, 'Map &amp; Key'!$C$78:$D$98, 2, 0 )</f>
        <v>Portsmouth Water</v>
      </c>
      <c r="K20" s="259">
        <f xml:space="preserve"> VLOOKUP( $C20, 'CALCS│Wholesale Totex'!$C$99:$I$115, MATCH( Year, 'CALCS│Wholesale Totex'!$C$2:$I$2, 0 ), 0 )</f>
        <v>137.52000000000001</v>
      </c>
      <c r="L20" s="259">
        <f xml:space="preserve"> VLOOKUP( $C20, 'CALCS│Wholesale Totex'!$C$121:$I$137, MATCH( Year, 'CALCS│Wholesale Totex'!$C$2:$I$2, 0 ), 0 )</f>
        <v>137.697</v>
      </c>
      <c r="M20" s="112" t="str">
        <f xml:space="preserve"> IF( ABS( E20 ) &lt;= 0.01, 'Map &amp; Key'!$G$71, IF( E20 &gt; 0, 'Map &amp; Key'!$G$70, 'Map &amp; Key'!$G$72 ) )</f>
        <v>▼</v>
      </c>
      <c r="N20" s="277">
        <f xml:space="preserve"> VLOOKUP( $C20, 'CALCS│Wholesale Totex'!$C$165:$I$181, MATCH( Year, 'CALCS│Wholesale Totex'!$C$2:$I$2, 0 ), 0 )</f>
        <v>-1.2854310551427591E-3</v>
      </c>
      <c r="O20" s="283"/>
    </row>
    <row r="21" spans="2:15" s="79" customFormat="1" ht="16.149999999999999" customHeight="1" outlineLevel="1" x14ac:dyDescent="0.3">
      <c r="B21" s="283"/>
      <c r="C21" s="178" t="s">
        <v>112</v>
      </c>
      <c r="D21" s="225">
        <f xml:space="preserve"> VLOOKUP( $C21, 'CALCS│Wholesale Totex'!$C$165:$I$181, MATCH( Last_year, 'CALCS│Wholesale Totex'!$C$2:$I$2, 0 ), 0 )</f>
        <v>-6.2521088651917758E-2</v>
      </c>
      <c r="E21" s="179">
        <f t="shared" si="0"/>
        <v>0.28960238954352024</v>
      </c>
      <c r="F21" s="283"/>
      <c r="G21" s="283"/>
      <c r="H21" s="283"/>
      <c r="I21" s="321"/>
      <c r="J21" s="258" t="str">
        <f xml:space="preserve"> VLOOKUP( $C21, 'Map &amp; Key'!$C$78:$D$98, 2, 0 )</f>
        <v>South East Water</v>
      </c>
      <c r="K21" s="249">
        <f xml:space="preserve"> VLOOKUP( $C21, 'CALCS│Wholesale Totex'!$C$99:$I$115, MATCH( Year, 'CALCS│Wholesale Totex'!$C$2:$I$2, 0 ), 0 )</f>
        <v>742.20299999999997</v>
      </c>
      <c r="L21" s="249">
        <f xml:space="preserve"> VLOOKUP( $C21, 'CALCS│Wholesale Totex'!$C$121:$I$137, MATCH( Year, 'CALCS│Wholesale Totex'!$C$2:$I$2, 0 ), 0 )</f>
        <v>776.7</v>
      </c>
      <c r="M21" s="111" t="str">
        <f xml:space="preserve"> IF( ABS( E21 ) &lt;= 0.01, 'Map &amp; Key'!$G$71, IF( E21 &gt; 0, 'Map &amp; Key'!$G$70, 'Map &amp; Key'!$G$72 ) )</f>
        <v>▼</v>
      </c>
      <c r="N21" s="277">
        <f xml:space="preserve"> VLOOKUP( $C21, 'CALCS│Wholesale Totex'!$C$165:$I$181, MATCH( Year, 'CALCS│Wholesale Totex'!$C$2:$I$2, 0 ), 0 )</f>
        <v>-4.4414831981460109E-2</v>
      </c>
      <c r="O21" s="283"/>
    </row>
    <row r="22" spans="2:15" s="79" customFormat="1" ht="16.149999999999999" customHeight="1" outlineLevel="1" x14ac:dyDescent="0.3">
      <c r="B22" s="283"/>
      <c r="C22" s="178" t="s">
        <v>114</v>
      </c>
      <c r="D22" s="225">
        <f xml:space="preserve"> VLOOKUP( $C22, 'CALCS│Wholesale Totex'!$C$165:$I$181, MATCH( Last_year, 'CALCS│Wholesale Totex'!$C$2:$I$2, 0 ), 0 )</f>
        <v>4.2542211614441773E-3</v>
      </c>
      <c r="E22" s="179">
        <f t="shared" si="0"/>
        <v>0.88302182870400214</v>
      </c>
      <c r="F22" s="283"/>
      <c r="G22" s="283"/>
      <c r="H22" s="283"/>
      <c r="I22" s="321"/>
      <c r="J22" s="258" t="str">
        <f xml:space="preserve"> VLOOKUP( $C22, 'Map &amp; Key'!$C$78:$D$98, 2, 0 )</f>
        <v>South Staffs Water</v>
      </c>
      <c r="K22" s="259">
        <f xml:space="preserve"> VLOOKUP( $C22, 'CALCS│Wholesale Totex'!$C$99:$I$115, MATCH( Year, 'CALCS│Wholesale Totex'!$C$2:$I$2, 0 ), 0 )</f>
        <v>390.07799999999997</v>
      </c>
      <c r="L22" s="259">
        <f xml:space="preserve"> VLOOKUP( $C22, 'CALCS│Wholesale Totex'!$C$121:$I$137, MATCH( Year, 'CALCS│Wholesale Totex'!$C$2:$I$2, 0 ), 0 )</f>
        <v>386.97800000000001</v>
      </c>
      <c r="M22" s="112" t="str">
        <f xml:space="preserve"> IF( ABS( E22 ) &lt;= 0.01, 'Map &amp; Key'!$G$71, IF( E22 &gt; 0, 'Map &amp; Key'!$G$70, 'Map &amp; Key'!$G$72 ) )</f>
        <v>▼</v>
      </c>
      <c r="N22" s="277">
        <f xml:space="preserve"> VLOOKUP( $C22, 'CALCS│Wholesale Totex'!$C$165:$I$181, MATCH( Year, 'CALCS│Wholesale Totex'!$C$2:$I$2, 0 ), 0 )</f>
        <v>8.0107913111338788E-3</v>
      </c>
      <c r="O22" s="283"/>
    </row>
    <row r="23" spans="2:15" s="79" customFormat="1" ht="16.149999999999999" customHeight="1" outlineLevel="1" x14ac:dyDescent="0.3">
      <c r="B23" s="283"/>
      <c r="C23" s="178" t="s">
        <v>110</v>
      </c>
      <c r="D23" s="225">
        <f xml:space="preserve"> VLOOKUP( $C23, 'CALCS│Wholesale Totex'!$C$165:$I$181, MATCH( Last_year, 'CALCS│Wholesale Totex'!$C$2:$I$2, 0 ), 0 )</f>
        <v>-3.2654902745304845E-2</v>
      </c>
      <c r="E23" s="179">
        <f t="shared" si="0"/>
        <v>0.82713094217563765</v>
      </c>
      <c r="F23" s="283"/>
      <c r="G23" s="283"/>
      <c r="H23" s="283"/>
      <c r="I23" s="321"/>
      <c r="J23" s="258" t="str">
        <f xml:space="preserve"> VLOOKUP( $C23, 'Map &amp; Key'!$C$78:$D$98, 2, 0 )</f>
        <v>SES Water</v>
      </c>
      <c r="K23" s="249">
        <f xml:space="preserve"> VLOOKUP( $C23, 'CALCS│Wholesale Totex'!$C$99:$I$115, MATCH( Year, 'CALCS│Wholesale Totex'!$C$2:$I$2, 0 ), 0 )</f>
        <v>219.27600000000001</v>
      </c>
      <c r="L23" s="249">
        <f xml:space="preserve"> VLOOKUP( $C23, 'CALCS│Wholesale Totex'!$C$121:$I$137, MATCH( Year, 'CALCS│Wholesale Totex'!$C$2:$I$2, 0 ), 0 )</f>
        <v>220.5208450816898</v>
      </c>
      <c r="M23" s="111" t="str">
        <f xml:space="preserve"> IF( ABS( E23 ) &lt;= 0.01, 'Map &amp; Key'!$G$71, IF( E23 &gt; 0, 'Map &amp; Key'!$G$70, 'Map &amp; Key'!$G$72 ) )</f>
        <v>▼</v>
      </c>
      <c r="N23" s="277">
        <f xml:space="preserve"> VLOOKUP( $C23, 'CALCS│Wholesale Totex'!$C$165:$I$181, MATCH( Year, 'CALCS│Wholesale Totex'!$C$2:$I$2, 0 ), 0 )</f>
        <v>-5.645022270927033E-3</v>
      </c>
      <c r="O23" s="283"/>
    </row>
    <row r="24" spans="2:15" outlineLevel="1" x14ac:dyDescent="0.25"/>
    <row r="25" spans="2:15" outlineLevel="1" x14ac:dyDescent="0.25">
      <c r="M25" s="47" t="s">
        <v>595</v>
      </c>
      <c r="N25" s="110">
        <f>_xlfn.PERCENTILE.INC( $N$7:$N$23, 0.25 )</f>
        <v>-4.4414831981460109E-2</v>
      </c>
    </row>
    <row r="26" spans="2:15" outlineLevel="1" x14ac:dyDescent="0.25">
      <c r="M26" s="47" t="s">
        <v>596</v>
      </c>
      <c r="N26" s="110">
        <f>_xlfn.PERCENTILE.INC( $N$7:$N$23, 0.75 )</f>
        <v>2.2111264649892368E-2</v>
      </c>
    </row>
    <row r="27" spans="2:15" outlineLevel="1" x14ac:dyDescent="0.25"/>
    <row r="28" spans="2:15" ht="13.5" outlineLevel="1" x14ac:dyDescent="0.35">
      <c r="B28" s="32" t="s">
        <v>604</v>
      </c>
      <c r="C28" s="32"/>
      <c r="D28" s="32"/>
      <c r="E28" s="32"/>
      <c r="F28" s="32"/>
      <c r="G28" s="32"/>
      <c r="H28" s="32"/>
      <c r="I28" s="32"/>
      <c r="J28" s="32" t="s">
        <v>605</v>
      </c>
      <c r="K28" s="32"/>
      <c r="L28" s="32"/>
      <c r="M28" s="32"/>
      <c r="N28" s="32"/>
      <c r="O28" s="32"/>
    </row>
    <row r="29" spans="2:15" outlineLevel="1" x14ac:dyDescent="0.25"/>
    <row r="30" spans="2:15" ht="13.5" outlineLevel="1" x14ac:dyDescent="0.25">
      <c r="C30" s="119" t="s">
        <v>606</v>
      </c>
    </row>
    <row r="31" spans="2:15" ht="13.5" outlineLevel="1" x14ac:dyDescent="0.25">
      <c r="C31" s="119"/>
    </row>
    <row r="32" spans="2:15" ht="26" outlineLevel="1" x14ac:dyDescent="0.3">
      <c r="C32" s="332" t="str">
        <f xml:space="preserve"> Year &amp; " Rank"</f>
        <v>2019-20 Rank</v>
      </c>
      <c r="D32" s="286" t="s">
        <v>223</v>
      </c>
      <c r="E32" s="4" t="s">
        <v>175</v>
      </c>
      <c r="F32" s="4" t="s">
        <v>176</v>
      </c>
      <c r="G32" s="4" t="s">
        <v>177</v>
      </c>
      <c r="H32" s="4" t="s">
        <v>178</v>
      </c>
      <c r="I32" s="4" t="s">
        <v>151</v>
      </c>
    </row>
    <row r="33" spans="3:9" outlineLevel="1" x14ac:dyDescent="0.25">
      <c r="C33" s="109">
        <v>1</v>
      </c>
      <c r="D33" s="231" t="str">
        <f xml:space="preserve"> INDEX( 'CALCS│Wholesale Totex'!$C$75:$C$91, MATCH( $I33, 'CALCS│Wholesale Totex'!$I$75:$I$91, 0 ) )</f>
        <v>SWB</v>
      </c>
      <c r="E33" s="118">
        <f xml:space="preserve"> VLOOKUP( $D33, 'CALCS│Wholesale Totex'!$C$75:$I$91, MATCH( E$32, 'CALCS│Wholesale Totex'!$C$2:$I$2, 0 ), 0 )</f>
        <v>-0.23242789134696162</v>
      </c>
      <c r="F33" s="118">
        <f xml:space="preserve"> VLOOKUP( $D33, 'CALCS│Wholesale Totex'!$C$75:$I$91, MATCH( F$32, 'CALCS│Wholesale Totex'!$C$2:$I$2, 0 ), 0 )</f>
        <v>-0.12983009043573582</v>
      </c>
      <c r="G33" s="118">
        <f xml:space="preserve"> VLOOKUP( $D33, 'CALCS│Wholesale Totex'!$C$75:$I$91, MATCH( G$32, 'CALCS│Wholesale Totex'!$C$2:$I$2, 0 ), 0 )</f>
        <v>-0.14481482651926714</v>
      </c>
      <c r="H33" s="118">
        <f xml:space="preserve"> VLOOKUP( $D33, 'CALCS│Wholesale Totex'!$C$75:$I$91, MATCH( H$32, 'CALCS│Wholesale Totex'!$C$2:$I$2, 0 ), 0 )</f>
        <v>-0.13426051625391688</v>
      </c>
      <c r="I33" s="110">
        <f xml:space="preserve"> SMALL( 'CALCS│Wholesale Totex'!$I$75:$I$91, $C33 )</f>
        <v>-0.12822620309028912</v>
      </c>
    </row>
    <row r="34" spans="3:9" outlineLevel="1" x14ac:dyDescent="0.25">
      <c r="C34" s="109">
        <v>2</v>
      </c>
      <c r="D34" s="231" t="str">
        <f xml:space="preserve"> INDEX( 'CALCS│Wholesale Totex'!$C$75:$C$91, MATCH( $I34, 'CALCS│Wholesale Totex'!$I$75:$I$91, 0 ) )</f>
        <v>ANH</v>
      </c>
      <c r="E34" s="118">
        <f xml:space="preserve"> VLOOKUP( $D34, 'CALCS│Wholesale Totex'!$C$75:$I$91, MATCH( E$32, 'CALCS│Wholesale Totex'!$C$2:$I$2, 0 ), 0 )</f>
        <v>-7.7840044930763852E-2</v>
      </c>
      <c r="F34" s="118">
        <f xml:space="preserve"> VLOOKUP( $D34, 'CALCS│Wholesale Totex'!$C$75:$I$91, MATCH( F$32, 'CALCS│Wholesale Totex'!$C$2:$I$2, 0 ), 0 )</f>
        <v>-0.21242976009938744</v>
      </c>
      <c r="G34" s="118">
        <f xml:space="preserve"> VLOOKUP( $D34, 'CALCS│Wholesale Totex'!$C$75:$I$91, MATCH( G$32, 'CALCS│Wholesale Totex'!$C$2:$I$2, 0 ), 0 )</f>
        <v>-3.4477960561740517E-2</v>
      </c>
      <c r="H34" s="118">
        <f xml:space="preserve"> VLOOKUP( $D34, 'CALCS│Wholesale Totex'!$C$75:$I$91, MATCH( H$32, 'CALCS│Wholesale Totex'!$C$2:$I$2, 0 ), 0 )</f>
        <v>-4.0590903655263633E-2</v>
      </c>
      <c r="I34" s="110">
        <f xml:space="preserve"> SMALL( 'CALCS│Wholesale Totex'!$I$75:$I$91, $C34 )</f>
        <v>-1.8989123286668193E-2</v>
      </c>
    </row>
    <row r="35" spans="3:9" outlineLevel="1" x14ac:dyDescent="0.25">
      <c r="C35" s="109">
        <v>3</v>
      </c>
      <c r="D35" s="231" t="str">
        <f xml:space="preserve"> INDEX( 'CALCS│Wholesale Totex'!$C$75:$C$91, MATCH( $I35, 'CALCS│Wholesale Totex'!$I$75:$I$91, 0 ) )</f>
        <v>WSX</v>
      </c>
      <c r="E35" s="118">
        <f xml:space="preserve"> VLOOKUP( $D35, 'CALCS│Wholesale Totex'!$C$75:$I$91, MATCH( E$32, 'CALCS│Wholesale Totex'!$C$2:$I$2, 0 ), 0 )</f>
        <v>-9.5831869738750533E-2</v>
      </c>
      <c r="F35" s="118">
        <f xml:space="preserve"> VLOOKUP( $D35, 'CALCS│Wholesale Totex'!$C$75:$I$91, MATCH( F$32, 'CALCS│Wholesale Totex'!$C$2:$I$2, 0 ), 0 )</f>
        <v>-0.13877901818531319</v>
      </c>
      <c r="G35" s="118">
        <f xml:space="preserve"> VLOOKUP( $D35, 'CALCS│Wholesale Totex'!$C$75:$I$91, MATCH( G$32, 'CALCS│Wholesale Totex'!$C$2:$I$2, 0 ), 0 )</f>
        <v>-0.10006959837569869</v>
      </c>
      <c r="H35" s="118">
        <f xml:space="preserve"> VLOOKUP( $D35, 'CALCS│Wholesale Totex'!$C$75:$I$91, MATCH( H$32, 'CALCS│Wholesale Totex'!$C$2:$I$2, 0 ), 0 )</f>
        <v>-6.4392220499361053E-2</v>
      </c>
      <c r="I35" s="110">
        <f xml:space="preserve"> SMALL( 'CALCS│Wholesale Totex'!$I$75:$I$91, $C35 )</f>
        <v>-1.150937494714664E-2</v>
      </c>
    </row>
    <row r="36" spans="3:9" outlineLevel="1" x14ac:dyDescent="0.25">
      <c r="C36" s="109">
        <v>4</v>
      </c>
      <c r="D36" s="231" t="str">
        <f xml:space="preserve"> INDEX( 'CALCS│Wholesale Totex'!$C$75:$C$91, MATCH( $I36, 'CALCS│Wholesale Totex'!$I$75:$I$91, 0 ) )</f>
        <v>SSC</v>
      </c>
      <c r="E36" s="118">
        <f xml:space="preserve"> VLOOKUP( $D36, 'CALCS│Wholesale Totex'!$C$75:$I$91, MATCH( E$32, 'CALCS│Wholesale Totex'!$C$2:$I$2, 0 ), 0 )</f>
        <v>-5.4677817955678505E-2</v>
      </c>
      <c r="F36" s="118">
        <f xml:space="preserve"> VLOOKUP( $D36, 'CALCS│Wholesale Totex'!$C$75:$I$91, MATCH( F$32, 'CALCS│Wholesale Totex'!$C$2:$I$2, 0 ), 0 )</f>
        <v>-1.9333210940593575E-2</v>
      </c>
      <c r="G36" s="118">
        <f xml:space="preserve"> VLOOKUP( $D36, 'CALCS│Wholesale Totex'!$C$75:$I$91, MATCH( G$32, 'CALCS│Wholesale Totex'!$C$2:$I$2, 0 ), 0 )</f>
        <v>5.304329052858224E-2</v>
      </c>
      <c r="H36" s="118">
        <f xml:space="preserve"> VLOOKUP( $D36, 'CALCS│Wholesale Totex'!$C$75:$I$91, MATCH( H$32, 'CALCS│Wholesale Totex'!$C$2:$I$2, 0 ), 0 )</f>
        <v>3.7050816580496887E-2</v>
      </c>
      <c r="I36" s="110">
        <f xml:space="preserve"> SMALL( 'CALCS│Wholesale Totex'!$I$75:$I$91, $C36 )</f>
        <v>2.3629010234469394E-2</v>
      </c>
    </row>
    <row r="37" spans="3:9" outlineLevel="1" x14ac:dyDescent="0.25">
      <c r="C37" s="109">
        <v>5</v>
      </c>
      <c r="D37" s="231" t="str">
        <f xml:space="preserve"> INDEX( 'CALCS│Wholesale Totex'!$C$75:$C$91, MATCH( $I37, 'CALCS│Wholesale Totex'!$I$75:$I$91, 0 ) )</f>
        <v>SEW</v>
      </c>
      <c r="E37" s="118">
        <f xml:space="preserve"> VLOOKUP( $D37, 'CALCS│Wholesale Totex'!$C$75:$I$91, MATCH( E$32, 'CALCS│Wholesale Totex'!$C$2:$I$2, 0 ), 0 )</f>
        <v>-3.1169709263015637E-2</v>
      </c>
      <c r="F37" s="118">
        <f xml:space="preserve"> VLOOKUP( $D37, 'CALCS│Wholesale Totex'!$C$75:$I$91, MATCH( F$32, 'CALCS│Wholesale Totex'!$C$2:$I$2, 0 ), 0 )</f>
        <v>-8.2918537524053829E-2</v>
      </c>
      <c r="G37" s="118">
        <f xml:space="preserve"> VLOOKUP( $D37, 'CALCS│Wholesale Totex'!$C$75:$I$91, MATCH( G$32, 'CALCS│Wholesale Totex'!$C$2:$I$2, 0 ), 0 )</f>
        <v>-0.103558912386707</v>
      </c>
      <c r="H37" s="118">
        <f xml:space="preserve"> VLOOKUP( $D37, 'CALCS│Wholesale Totex'!$C$75:$I$91, MATCH( H$32, 'CALCS│Wholesale Totex'!$C$2:$I$2, 0 ), 0 )</f>
        <v>-2.8968553459119462E-2</v>
      </c>
      <c r="I37" s="110">
        <f xml:space="preserve"> SMALL( 'CALCS│Wholesale Totex'!$I$75:$I$91, $C37 )</f>
        <v>3.2243935309973021E-2</v>
      </c>
    </row>
    <row r="38" spans="3:9" outlineLevel="1" x14ac:dyDescent="0.25">
      <c r="C38" s="109">
        <v>6</v>
      </c>
      <c r="D38" s="231" t="str">
        <f xml:space="preserve"> INDEX( 'CALCS│Wholesale Totex'!$C$75:$C$91, MATCH( $I38, 'CALCS│Wholesale Totex'!$I$75:$I$91, 0 ) )</f>
        <v>UU</v>
      </c>
      <c r="E38" s="118">
        <f xml:space="preserve"> VLOOKUP( $D38, 'CALCS│Wholesale Totex'!$C$75:$I$91, MATCH( E$32, 'CALCS│Wholesale Totex'!$C$2:$I$2, 0 ), 0 )</f>
        <v>0.15128554430412489</v>
      </c>
      <c r="F38" s="118">
        <f xml:space="preserve"> VLOOKUP( $D38, 'CALCS│Wholesale Totex'!$C$75:$I$91, MATCH( F$32, 'CALCS│Wholesale Totex'!$C$2:$I$2, 0 ), 0 )</f>
        <v>0.11248771598634255</v>
      </c>
      <c r="G38" s="118">
        <f xml:space="preserve"> VLOOKUP( $D38, 'CALCS│Wholesale Totex'!$C$75:$I$91, MATCH( G$32, 'CALCS│Wholesale Totex'!$C$2:$I$2, 0 ), 0 )</f>
        <v>3.6251120065206165E-2</v>
      </c>
      <c r="H38" s="118">
        <f xml:space="preserve"> VLOOKUP( $D38, 'CALCS│Wholesale Totex'!$C$75:$I$91, MATCH( H$32, 'CALCS│Wholesale Totex'!$C$2:$I$2, 0 ), 0 )</f>
        <v>4.2303032958604216E-3</v>
      </c>
      <c r="I38" s="110">
        <f xml:space="preserve"> SMALL( 'CALCS│Wholesale Totex'!$I$75:$I$91, $C38 )</f>
        <v>3.8753601845444394E-2</v>
      </c>
    </row>
    <row r="39" spans="3:9" outlineLevel="1" x14ac:dyDescent="0.25">
      <c r="C39" s="109">
        <v>7</v>
      </c>
      <c r="D39" s="231" t="str">
        <f xml:space="preserve"> INDEX( 'CALCS│Wholesale Totex'!$C$75:$C$91, MATCH( $I39, 'CALCS│Wholesale Totex'!$I$75:$I$91, 0 ) )</f>
        <v>NES</v>
      </c>
      <c r="E39" s="118">
        <f xml:space="preserve"> VLOOKUP( $D39, 'CALCS│Wholesale Totex'!$C$75:$I$91, MATCH( E$32, 'CALCS│Wholesale Totex'!$C$2:$I$2, 0 ), 0 )</f>
        <v>-0.11263159716663115</v>
      </c>
      <c r="F39" s="118">
        <f xml:space="preserve"> VLOOKUP( $D39, 'CALCS│Wholesale Totex'!$C$75:$I$91, MATCH( F$32, 'CALCS│Wholesale Totex'!$C$2:$I$2, 0 ), 0 )</f>
        <v>-0.17223270578253683</v>
      </c>
      <c r="G39" s="118">
        <f xml:space="preserve"> VLOOKUP( $D39, 'CALCS│Wholesale Totex'!$C$75:$I$91, MATCH( G$32, 'CALCS│Wholesale Totex'!$C$2:$I$2, 0 ), 0 )</f>
        <v>-0.10166665653747892</v>
      </c>
      <c r="H39" s="118">
        <f xml:space="preserve"> VLOOKUP( $D39, 'CALCS│Wholesale Totex'!$C$75:$I$91, MATCH( H$32, 'CALCS│Wholesale Totex'!$C$2:$I$2, 0 ), 0 )</f>
        <v>3.0680608188990773E-2</v>
      </c>
      <c r="I39" s="110">
        <f xml:space="preserve"> SMALL( 'CALCS│Wholesale Totex'!$I$75:$I$91, $C39 )</f>
        <v>6.0101223923035942E-2</v>
      </c>
    </row>
    <row r="40" spans="3:9" outlineLevel="1" x14ac:dyDescent="0.25">
      <c r="C40" s="109">
        <v>8</v>
      </c>
      <c r="D40" s="231" t="str">
        <f xml:space="preserve"> INDEX( 'CALCS│Wholesale Totex'!$C$75:$C$91, MATCH( $I40, 'CALCS│Wholesale Totex'!$I$75:$I$91, 0 ) )</f>
        <v>AFW</v>
      </c>
      <c r="E40" s="118">
        <f xml:space="preserve"> VLOOKUP( $D40, 'CALCS│Wholesale Totex'!$C$75:$I$91, MATCH( E$32, 'CALCS│Wholesale Totex'!$C$2:$I$2, 0 ), 0 )</f>
        <v>-0.10541356492969364</v>
      </c>
      <c r="F40" s="118">
        <f xml:space="preserve"> VLOOKUP( $D40, 'CALCS│Wholesale Totex'!$C$75:$I$91, MATCH( F$32, 'CALCS│Wholesale Totex'!$C$2:$I$2, 0 ), 0 )</f>
        <v>-1.836266884977494E-2</v>
      </c>
      <c r="G40" s="118">
        <f xml:space="preserve"> VLOOKUP( $D40, 'CALCS│Wholesale Totex'!$C$75:$I$91, MATCH( G$32, 'CALCS│Wholesale Totex'!$C$2:$I$2, 0 ), 0 )</f>
        <v>5.3838907206782749E-2</v>
      </c>
      <c r="H40" s="118">
        <f xml:space="preserve"> VLOOKUP( $D40, 'CALCS│Wholesale Totex'!$C$75:$I$91, MATCH( H$32, 'CALCS│Wholesale Totex'!$C$2:$I$2, 0 ), 0 )</f>
        <v>9.5982010045650393E-2</v>
      </c>
      <c r="I40" s="110">
        <f xml:space="preserve"> SMALL( 'CALCS│Wholesale Totex'!$I$75:$I$91, $C40 )</f>
        <v>0.14739045492430089</v>
      </c>
    </row>
    <row r="41" spans="3:9" outlineLevel="1" x14ac:dyDescent="0.25">
      <c r="C41" s="109">
        <v>9</v>
      </c>
      <c r="D41" s="231" t="str">
        <f xml:space="preserve"> INDEX( 'CALCS│Wholesale Totex'!$C$75:$C$91, MATCH( $I41, 'CALCS│Wholesale Totex'!$I$75:$I$91, 0 ) )</f>
        <v>WSH</v>
      </c>
      <c r="E41" s="118">
        <f xml:space="preserve"> VLOOKUP( $D41, 'CALCS│Wholesale Totex'!$C$75:$I$91, MATCH( E$32, 'CALCS│Wholesale Totex'!$C$2:$I$2, 0 ), 0 )</f>
        <v>-0.18255046289270013</v>
      </c>
      <c r="F41" s="118">
        <f xml:space="preserve"> VLOOKUP( $D41, 'CALCS│Wholesale Totex'!$C$75:$I$91, MATCH( F$32, 'CALCS│Wholesale Totex'!$C$2:$I$2, 0 ), 0 )</f>
        <v>3.6159684793232172E-2</v>
      </c>
      <c r="G41" s="118">
        <f xml:space="preserve"> VLOOKUP( $D41, 'CALCS│Wholesale Totex'!$C$75:$I$91, MATCH( G$32, 'CALCS│Wholesale Totex'!$C$2:$I$2, 0 ), 0 )</f>
        <v>0.12268023729071623</v>
      </c>
      <c r="H41" s="118">
        <f xml:space="preserve"> VLOOKUP( $D41, 'CALCS│Wholesale Totex'!$C$75:$I$91, MATCH( H$32, 'CALCS│Wholesale Totex'!$C$2:$I$2, 0 ), 0 )</f>
        <v>0.20561665396699691</v>
      </c>
      <c r="I41" s="110">
        <f xml:space="preserve"> SMALL( 'CALCS│Wholesale Totex'!$I$75:$I$91, $C41 )</f>
        <v>0.15209176540971511</v>
      </c>
    </row>
    <row r="42" spans="3:9" outlineLevel="1" x14ac:dyDescent="0.25">
      <c r="C42" s="109">
        <v>10</v>
      </c>
      <c r="D42" s="231" t="str">
        <f xml:space="preserve"> INDEX( 'CALCS│Wholesale Totex'!$C$75:$C$91, MATCH( $I42, 'CALCS│Wholesale Totex'!$I$75:$I$91, 0 ) )</f>
        <v>PRT</v>
      </c>
      <c r="E42" s="118">
        <f xml:space="preserve"> VLOOKUP( $D42, 'CALCS│Wholesale Totex'!$C$75:$I$91, MATCH( E$32, 'CALCS│Wholesale Totex'!$C$2:$I$2, 0 ), 0 )</f>
        <v>-6.7885117493472494E-2</v>
      </c>
      <c r="F42" s="118">
        <f xml:space="preserve"> VLOOKUP( $D42, 'CALCS│Wholesale Totex'!$C$75:$I$91, MATCH( F$32, 'CALCS│Wholesale Totex'!$C$2:$I$2, 0 ), 0 )</f>
        <v>3.7988359530198379E-3</v>
      </c>
      <c r="G42" s="118">
        <f xml:space="preserve"> VLOOKUP( $D42, 'CALCS│Wholesale Totex'!$C$75:$I$91, MATCH( G$32, 'CALCS│Wholesale Totex'!$C$2:$I$2, 0 ), 0 )</f>
        <v>-0.21918372955888413</v>
      </c>
      <c r="H42" s="118">
        <f xml:space="preserve"> VLOOKUP( $D42, 'CALCS│Wholesale Totex'!$C$75:$I$91, MATCH( H$32, 'CALCS│Wholesale Totex'!$C$2:$I$2, 0 ), 0 )</f>
        <v>0.1378743608473339</v>
      </c>
      <c r="I42" s="110">
        <f xml:space="preserve"> SMALL( 'CALCS│Wholesale Totex'!$I$75:$I$91, $C42 )</f>
        <v>0.158225664225741</v>
      </c>
    </row>
    <row r="43" spans="3:9" outlineLevel="1" x14ac:dyDescent="0.25">
      <c r="C43" s="109">
        <v>11</v>
      </c>
      <c r="D43" s="231" t="str">
        <f xml:space="preserve"> INDEX( 'CALCS│Wholesale Totex'!$C$75:$C$91, MATCH( $I43, 'CALCS│Wholesale Totex'!$I$75:$I$91, 0 ) )</f>
        <v>YKY</v>
      </c>
      <c r="E43" s="118">
        <f xml:space="preserve"> VLOOKUP( $D43, 'CALCS│Wholesale Totex'!$C$75:$I$91, MATCH( E$32, 'CALCS│Wholesale Totex'!$C$2:$I$2, 0 ), 0 )</f>
        <v>-0.21966610230647537</v>
      </c>
      <c r="F43" s="118">
        <f xml:space="preserve"> VLOOKUP( $D43, 'CALCS│Wholesale Totex'!$C$75:$I$91, MATCH( F$32, 'CALCS│Wholesale Totex'!$C$2:$I$2, 0 ), 0 )</f>
        <v>-3.3538888570938057E-2</v>
      </c>
      <c r="G43" s="118">
        <f xml:space="preserve"> VLOOKUP( $D43, 'CALCS│Wholesale Totex'!$C$75:$I$91, MATCH( G$32, 'CALCS│Wholesale Totex'!$C$2:$I$2, 0 ), 0 )</f>
        <v>4.012932330827073E-2</v>
      </c>
      <c r="H43" s="118">
        <f xml:space="preserve"> VLOOKUP( $D43, 'CALCS│Wholesale Totex'!$C$75:$I$91, MATCH( H$32, 'CALCS│Wholesale Totex'!$C$2:$I$2, 0 ), 0 )</f>
        <v>0.2318758921192999</v>
      </c>
      <c r="I43" s="110">
        <f xml:space="preserve"> SMALL( 'CALCS│Wholesale Totex'!$I$75:$I$91, $C43 )</f>
        <v>0.16008978221264342</v>
      </c>
    </row>
    <row r="44" spans="3:9" outlineLevel="1" x14ac:dyDescent="0.25">
      <c r="C44" s="109">
        <v>12</v>
      </c>
      <c r="D44" s="231" t="str">
        <f xml:space="preserve"> INDEX( 'CALCS│Wholesale Totex'!$C$75:$C$91, MATCH( $I44, 'CALCS│Wholesale Totex'!$I$75:$I$91, 0 ) )</f>
        <v>SVE</v>
      </c>
      <c r="E44" s="118">
        <f xml:space="preserve"> VLOOKUP( $D44, 'CALCS│Wholesale Totex'!$C$75:$I$91, MATCH( E$32, 'CALCS│Wholesale Totex'!$C$2:$I$2, 0 ), 0 )</f>
        <v>-1.8955136998848199E-2</v>
      </c>
      <c r="F44" s="118">
        <f xml:space="preserve"> VLOOKUP( $D44, 'CALCS│Wholesale Totex'!$C$75:$I$91, MATCH( F$32, 'CALCS│Wholesale Totex'!$C$2:$I$2, 0 ), 0 )</f>
        <v>-0.12113326442687987</v>
      </c>
      <c r="G44" s="118">
        <f xml:space="preserve"> VLOOKUP( $D44, 'CALCS│Wholesale Totex'!$C$75:$I$91, MATCH( G$32, 'CALCS│Wholesale Totex'!$C$2:$I$2, 0 ), 0 )</f>
        <v>-8.5158993168023056E-2</v>
      </c>
      <c r="H44" s="118">
        <f xml:space="preserve"> VLOOKUP( $D44, 'CALCS│Wholesale Totex'!$C$75:$I$91, MATCH( H$32, 'CALCS│Wholesale Totex'!$C$2:$I$2, 0 ), 0 )</f>
        <v>3.5010654104223216E-2</v>
      </c>
      <c r="I44" s="110">
        <f xml:space="preserve"> SMALL( 'CALCS│Wholesale Totex'!$I$75:$I$91, $C44 )</f>
        <v>0.17320166339682172</v>
      </c>
    </row>
    <row r="45" spans="3:9" outlineLevel="1" x14ac:dyDescent="0.25">
      <c r="C45" s="109">
        <v>13</v>
      </c>
      <c r="D45" s="231" t="str">
        <f xml:space="preserve"> INDEX( 'CALCS│Wholesale Totex'!$C$75:$C$91, MATCH( $I45, 'CALCS│Wholesale Totex'!$I$75:$I$91, 0 ) )</f>
        <v>SES</v>
      </c>
      <c r="E45" s="118">
        <f xml:space="preserve"> VLOOKUP( $D45, 'CALCS│Wholesale Totex'!$C$75:$I$91, MATCH( E$32, 'CALCS│Wholesale Totex'!$C$2:$I$2, 0 ), 0 )</f>
        <v>-5.0291857738159328E-2</v>
      </c>
      <c r="F45" s="118">
        <f xml:space="preserve"> VLOOKUP( $D45, 'CALCS│Wholesale Totex'!$C$75:$I$91, MATCH( F$32, 'CALCS│Wholesale Totex'!$C$2:$I$2, 0 ), 0 )</f>
        <v>-4.9546284957775452E-2</v>
      </c>
      <c r="G45" s="118">
        <f xml:space="preserve"> VLOOKUP( $D45, 'CALCS│Wholesale Totex'!$C$75:$I$91, MATCH( G$32, 'CALCS│Wholesale Totex'!$C$2:$I$2, 0 ), 0 )</f>
        <v>-6.7926535469825439E-2</v>
      </c>
      <c r="H45" s="118">
        <f xml:space="preserve"> VLOOKUP( $D45, 'CALCS│Wholesale Totex'!$C$75:$I$91, MATCH( H$32, 'CALCS│Wholesale Totex'!$C$2:$I$2, 0 ), 0 )</f>
        <v>3.9402155066252956E-2</v>
      </c>
      <c r="I45" s="110">
        <f xml:space="preserve"> SMALL( 'CALCS│Wholesale Totex'!$I$75:$I$91, $C45 )</f>
        <v>0.19327060784932598</v>
      </c>
    </row>
    <row r="46" spans="3:9" outlineLevel="1" x14ac:dyDescent="0.25">
      <c r="C46" s="109">
        <v>14</v>
      </c>
      <c r="D46" s="231" t="str">
        <f xml:space="preserve"> INDEX( 'CALCS│Wholesale Totex'!$C$75:$C$91, MATCH( $I46, 'CALCS│Wholesale Totex'!$I$75:$I$91, 0 ) )</f>
        <v>TMS</v>
      </c>
      <c r="E46" s="118">
        <f xml:space="preserve"> VLOOKUP( $D46, 'CALCS│Wholesale Totex'!$C$75:$I$91, MATCH( E$32, 'CALCS│Wholesale Totex'!$C$2:$I$2, 0 ), 0 )</f>
        <v>3.7524214574987287E-2</v>
      </c>
      <c r="F46" s="118">
        <f xml:space="preserve"> VLOOKUP( $D46, 'CALCS│Wholesale Totex'!$C$75:$I$91, MATCH( F$32, 'CALCS│Wholesale Totex'!$C$2:$I$2, 0 ), 0 )</f>
        <v>4.8280218787116955E-2</v>
      </c>
      <c r="G46" s="118">
        <f xml:space="preserve"> VLOOKUP( $D46, 'CALCS│Wholesale Totex'!$C$75:$I$91, MATCH( G$32, 'CALCS│Wholesale Totex'!$C$2:$I$2, 0 ), 0 )</f>
        <v>4.0289577264366633E-2</v>
      </c>
      <c r="H46" s="118">
        <f xml:space="preserve"> VLOOKUP( $D46, 'CALCS│Wholesale Totex'!$C$75:$I$91, MATCH( H$32, 'CALCS│Wholesale Totex'!$C$2:$I$2, 0 ), 0 )</f>
        <v>0.1341176059658746</v>
      </c>
      <c r="I46" s="110">
        <f xml:space="preserve"> SMALL( 'CALCS│Wholesale Totex'!$I$75:$I$91, $C46 )</f>
        <v>0.20771979442618665</v>
      </c>
    </row>
    <row r="47" spans="3:9" outlineLevel="1" x14ac:dyDescent="0.25">
      <c r="C47" s="109">
        <v>15</v>
      </c>
      <c r="D47" s="231" t="str">
        <f xml:space="preserve"> INDEX( 'CALCS│Wholesale Totex'!$C$75:$C$91, MATCH( $I47, 'CALCS│Wholesale Totex'!$I$75:$I$91, 0 ) )</f>
        <v>BRL</v>
      </c>
      <c r="E47" s="118">
        <f xml:space="preserve"> VLOOKUP( $D47, 'CALCS│Wholesale Totex'!$C$75:$I$91, MATCH( E$32, 'CALCS│Wholesale Totex'!$C$2:$I$2, 0 ), 0 )</f>
        <v>-0.26305858611353089</v>
      </c>
      <c r="F47" s="118">
        <f xml:space="preserve"> VLOOKUP( $D47, 'CALCS│Wholesale Totex'!$C$75:$I$91, MATCH( F$32, 'CALCS│Wholesale Totex'!$C$2:$I$2, 0 ), 0 )</f>
        <v>-0.10336526272877265</v>
      </c>
      <c r="G47" s="118">
        <f xml:space="preserve"> VLOOKUP( $D47, 'CALCS│Wholesale Totex'!$C$75:$I$91, MATCH( G$32, 'CALCS│Wholesale Totex'!$C$2:$I$2, 0 ), 0 )</f>
        <v>8.853197273416287E-2</v>
      </c>
      <c r="H47" s="118">
        <f xml:space="preserve"> VLOOKUP( $D47, 'CALCS│Wholesale Totex'!$C$75:$I$91, MATCH( H$32, 'CALCS│Wholesale Totex'!$C$2:$I$2, 0 ), 0 )</f>
        <v>0.11814843009725529</v>
      </c>
      <c r="I47" s="110">
        <f xml:space="preserve"> SMALL( 'CALCS│Wholesale Totex'!$I$75:$I$91, $C47 )</f>
        <v>0.22401735825231398</v>
      </c>
    </row>
    <row r="48" spans="3:9" outlineLevel="1" x14ac:dyDescent="0.25">
      <c r="C48" s="109">
        <v>16</v>
      </c>
      <c r="D48" s="231" t="str">
        <f xml:space="preserve"> INDEX( 'CALCS│Wholesale Totex'!$C$75:$C$91, MATCH( $I48, 'CALCS│Wholesale Totex'!$I$75:$I$91, 0 ) )</f>
        <v>HDD</v>
      </c>
      <c r="E48" s="118">
        <f xml:space="preserve"> VLOOKUP( $D48, 'CALCS│Wholesale Totex'!$C$75:$I$91, MATCH( E$32, 'CALCS│Wholesale Totex'!$C$2:$I$2, 0 ), 0 )</f>
        <v>-0.24360924390363528</v>
      </c>
      <c r="F48" s="118">
        <f xml:space="preserve"> VLOOKUP( $D48, 'CALCS│Wholesale Totex'!$C$75:$I$91, MATCH( F$32, 'CALCS│Wholesale Totex'!$C$2:$I$2, 0 ), 0 )</f>
        <v>-0.21701010101010096</v>
      </c>
      <c r="G48" s="118">
        <f xml:space="preserve"> VLOOKUP( $D48, 'CALCS│Wholesale Totex'!$C$75:$I$91, MATCH( G$32, 'CALCS│Wholesale Totex'!$C$2:$I$2, 0 ), 0 )</f>
        <v>0.14923972217007694</v>
      </c>
      <c r="H48" s="118">
        <f xml:space="preserve"> VLOOKUP( $D48, 'CALCS│Wholesale Totex'!$C$75:$I$91, MATCH( H$32, 'CALCS│Wholesale Totex'!$C$2:$I$2, 0 ), 0 )</f>
        <v>0.20324427480916027</v>
      </c>
      <c r="I48" s="110">
        <f xml:space="preserve"> SMALL( 'CALCS│Wholesale Totex'!$I$75:$I$91, $C48 )</f>
        <v>0.23617364709880206</v>
      </c>
    </row>
    <row r="49" spans="3:9" outlineLevel="1" x14ac:dyDescent="0.25">
      <c r="C49" s="109">
        <v>17</v>
      </c>
      <c r="D49" s="231" t="str">
        <f xml:space="preserve"> INDEX( 'CALCS│Wholesale Totex'!$C$75:$C$91, MATCH( $I49, 'CALCS│Wholesale Totex'!$I$75:$I$91, 0 ) )</f>
        <v>SRN</v>
      </c>
      <c r="E49" s="118">
        <f xml:space="preserve"> VLOOKUP( $D49, 'CALCS│Wholesale Totex'!$C$75:$I$91, MATCH( E$32, 'CALCS│Wholesale Totex'!$C$2:$I$2, 0 ), 0 )</f>
        <v>-0.20534779090840971</v>
      </c>
      <c r="F49" s="118">
        <f xml:space="preserve"> VLOOKUP( $D49, 'CALCS│Wholesale Totex'!$C$75:$I$91, MATCH( F$32, 'CALCS│Wholesale Totex'!$C$2:$I$2, 0 ), 0 )</f>
        <v>-0.17296218117853993</v>
      </c>
      <c r="G49" s="118">
        <f xml:space="preserve"> VLOOKUP( $D49, 'CALCS│Wholesale Totex'!$C$75:$I$91, MATCH( G$32, 'CALCS│Wholesale Totex'!$C$2:$I$2, 0 ), 0 )</f>
        <v>-1.5168770704628888E-2</v>
      </c>
      <c r="H49" s="118">
        <f xml:space="preserve"> VLOOKUP( $D49, 'CALCS│Wholesale Totex'!$C$75:$I$91, MATCH( H$32, 'CALCS│Wholesale Totex'!$C$2:$I$2, 0 ), 0 )</f>
        <v>9.0945054351287136E-2</v>
      </c>
      <c r="I49" s="110">
        <f xml:space="preserve"> SMALL( 'CALCS│Wholesale Totex'!$I$75:$I$91, $C49 )</f>
        <v>0.33306935934598103</v>
      </c>
    </row>
    <row r="50" spans="3:9" outlineLevel="1" x14ac:dyDescent="0.25">
      <c r="D50" s="76" t="s">
        <v>424</v>
      </c>
      <c r="E50" s="118">
        <f>'CALCS│Wholesale Totex'!E93</f>
        <v>-5.7912574733999328E-2</v>
      </c>
      <c r="F50" s="118">
        <f>'CALCS│Wholesale Totex'!F93</f>
        <v>-5.6052134308644981E-2</v>
      </c>
      <c r="G50" s="118">
        <f>'CALCS│Wholesale Totex'!G93</f>
        <v>-1.0313467485358434E-2</v>
      </c>
      <c r="H50" s="118">
        <f>'CALCS│Wholesale Totex'!H93</f>
        <v>6.2194570683445402E-2</v>
      </c>
      <c r="I50" s="118">
        <f>'CALCS│Wholesale Totex'!I93</f>
        <v>0.11648022239930531</v>
      </c>
    </row>
    <row r="51" spans="3:9" outlineLevel="1" x14ac:dyDescent="0.25"/>
    <row r="52" spans="3:9" ht="13.5" outlineLevel="1" x14ac:dyDescent="0.25">
      <c r="C52" s="119" t="s">
        <v>607</v>
      </c>
    </row>
    <row r="53" spans="3:9" ht="13.5" outlineLevel="1" x14ac:dyDescent="0.25">
      <c r="C53" s="119"/>
    </row>
    <row r="54" spans="3:9" ht="26" outlineLevel="1" x14ac:dyDescent="0.3">
      <c r="C54" s="332" t="str">
        <f xml:space="preserve"> Year &amp; " Rank"</f>
        <v>2019-20 Rank</v>
      </c>
      <c r="D54" s="286" t="s">
        <v>223</v>
      </c>
      <c r="E54" s="4" t="s">
        <v>175</v>
      </c>
      <c r="F54" s="4" t="s">
        <v>176</v>
      </c>
      <c r="G54" s="4" t="s">
        <v>177</v>
      </c>
      <c r="H54" s="4" t="s">
        <v>178</v>
      </c>
      <c r="I54" s="4" t="s">
        <v>151</v>
      </c>
    </row>
    <row r="55" spans="3:9" outlineLevel="1" x14ac:dyDescent="0.25">
      <c r="C55" s="109">
        <v>1</v>
      </c>
      <c r="D55" s="231" t="str">
        <f xml:space="preserve"> INDEX( 'CALCS│Wholesale Totex'!$C$165:$C$181, MATCH( $I55, 'CALCS│Wholesale Totex'!$I$165:$I$181, 0 ) )</f>
        <v>SWB</v>
      </c>
      <c r="E55" s="118">
        <f xml:space="preserve"> VLOOKUP( $D55, 'CALCS│Wholesale Totex'!$C$165:$I$181, MATCH( E$32, 'CALCS│Wholesale Totex'!$C$2:$I$2, 0 ), 0 )</f>
        <v>-0.23242789134696162</v>
      </c>
      <c r="F55" s="118">
        <f xml:space="preserve"> VLOOKUP( $D55, 'CALCS│Wholesale Totex'!$C$165:$I$181, MATCH( F$32, 'CALCS│Wholesale Totex'!$C$2:$I$2, 0 ), 0 )</f>
        <v>-0.18058785480504347</v>
      </c>
      <c r="G55" s="118">
        <f xml:space="preserve"> VLOOKUP( $D55, 'CALCS│Wholesale Totex'!$C$165:$I$181, MATCH( G$32, 'CALCS│Wholesale Totex'!$C$2:$I$2, 0 ), 0 )</f>
        <v>-0.16881156798189259</v>
      </c>
      <c r="H55" s="118">
        <f xml:space="preserve"> VLOOKUP( $D55, 'CALCS│Wholesale Totex'!$C$165:$I$181, MATCH( H$32, 'CALCS│Wholesale Totex'!$C$2:$I$2, 0 ), 0 )</f>
        <v>-0.16108741233461063</v>
      </c>
      <c r="I55" s="110">
        <f xml:space="preserve"> SMALL( 'CALCS│Wholesale Totex'!$I$165:$I$181, $C55 )</f>
        <v>-0.15519822356762086</v>
      </c>
    </row>
    <row r="56" spans="3:9" outlineLevel="1" x14ac:dyDescent="0.25">
      <c r="C56" s="109">
        <v>2</v>
      </c>
      <c r="D56" s="231" t="str">
        <f xml:space="preserve"> INDEX( 'CALCS│Wholesale Totex'!$C$165:$C$181, MATCH( $I56, 'CALCS│Wholesale Totex'!$I$165:$I$181, 0 ) )</f>
        <v>WSX</v>
      </c>
      <c r="E56" s="118">
        <f xml:space="preserve"> VLOOKUP( $D56, 'CALCS│Wholesale Totex'!$C$165:$I$181, MATCH( E$32, 'CALCS│Wholesale Totex'!$C$2:$I$2, 0 ), 0 )</f>
        <v>-9.5831869738750533E-2</v>
      </c>
      <c r="F56" s="118">
        <f xml:space="preserve"> VLOOKUP( $D56, 'CALCS│Wholesale Totex'!$C$165:$I$181, MATCH( F$32, 'CALCS│Wholesale Totex'!$C$2:$I$2, 0 ), 0 )</f>
        <v>-0.11790044296868073</v>
      </c>
      <c r="G56" s="118">
        <f xml:space="preserve"> VLOOKUP( $D56, 'CALCS│Wholesale Totex'!$C$165:$I$181, MATCH( G$32, 'CALCS│Wholesale Totex'!$C$2:$I$2, 0 ), 0 )</f>
        <v>-0.1116258311500082</v>
      </c>
      <c r="H56" s="118">
        <f xml:space="preserve"> VLOOKUP( $D56, 'CALCS│Wholesale Totex'!$C$165:$I$181, MATCH( H$32, 'CALCS│Wholesale Totex'!$C$2:$I$2, 0 ), 0 )</f>
        <v>-9.9820690770586362E-2</v>
      </c>
      <c r="I56" s="110">
        <f xml:space="preserve"> SMALL( 'CALCS│Wholesale Totex'!$I$165:$I$181, $C56 )</f>
        <v>-8.2689683556801494E-2</v>
      </c>
    </row>
    <row r="57" spans="3:9" outlineLevel="1" x14ac:dyDescent="0.25">
      <c r="C57" s="109">
        <v>3</v>
      </c>
      <c r="D57" s="231" t="str">
        <f xml:space="preserve"> INDEX( 'CALCS│Wholesale Totex'!$C$165:$C$181, MATCH( $I57, 'CALCS│Wholesale Totex'!$I$165:$I$181, 0 ) )</f>
        <v>ANH</v>
      </c>
      <c r="E57" s="118">
        <f xml:space="preserve"> VLOOKUP( $D57, 'CALCS│Wholesale Totex'!$C$165:$I$181, MATCH( E$32, 'CALCS│Wholesale Totex'!$C$2:$I$2, 0 ), 0 )</f>
        <v>-7.7840044930763852E-2</v>
      </c>
      <c r="F57" s="118">
        <f xml:space="preserve"> VLOOKUP( $D57, 'CALCS│Wholesale Totex'!$C$165:$I$181, MATCH( F$32, 'CALCS│Wholesale Totex'!$C$2:$I$2, 0 ), 0 )</f>
        <v>-0.15177378229463354</v>
      </c>
      <c r="G57" s="118">
        <f xml:space="preserve"> VLOOKUP( $D57, 'CALCS│Wholesale Totex'!$C$165:$I$181, MATCH( G$32, 'CALCS│Wholesale Totex'!$C$2:$I$2, 0 ), 0 )</f>
        <v>-0.11373577697800423</v>
      </c>
      <c r="H57" s="118">
        <f xml:space="preserve"> VLOOKUP( $D57, 'CALCS│Wholesale Totex'!$C$165:$I$181, MATCH( H$32, 'CALCS│Wholesale Totex'!$C$2:$I$2, 0 ), 0 )</f>
        <v>-9.6219081319757385E-2</v>
      </c>
      <c r="I57" s="110">
        <f xml:space="preserve"> SMALL( 'CALCS│Wholesale Totex'!$I$165:$I$181, $C57 )</f>
        <v>-8.1512002909417319E-2</v>
      </c>
    </row>
    <row r="58" spans="3:9" outlineLevel="1" x14ac:dyDescent="0.25">
      <c r="C58" s="109">
        <v>4</v>
      </c>
      <c r="D58" s="231" t="str">
        <f xml:space="preserve"> INDEX( 'CALCS│Wholesale Totex'!$C$165:$C$181, MATCH( $I58, 'CALCS│Wholesale Totex'!$I$165:$I$181, 0 ) )</f>
        <v>NES</v>
      </c>
      <c r="E58" s="118">
        <f xml:space="preserve"> VLOOKUP( $D58, 'CALCS│Wholesale Totex'!$C$165:$I$181, MATCH( E$32, 'CALCS│Wholesale Totex'!$C$2:$I$2, 0 ), 0 )</f>
        <v>-0.11263159716663115</v>
      </c>
      <c r="F58" s="118">
        <f xml:space="preserve"> VLOOKUP( $D58, 'CALCS│Wholesale Totex'!$C$165:$I$181, MATCH( F$32, 'CALCS│Wholesale Totex'!$C$2:$I$2, 0 ), 0 )</f>
        <v>-0.14294916836126709</v>
      </c>
      <c r="G58" s="118">
        <f xml:space="preserve"> VLOOKUP( $D58, 'CALCS│Wholesale Totex'!$C$165:$I$181, MATCH( G$32, 'CALCS│Wholesale Totex'!$C$2:$I$2, 0 ), 0 )</f>
        <v>-0.12874209749880786</v>
      </c>
      <c r="H58" s="118">
        <f xml:space="preserve"> VLOOKUP( $D58, 'CALCS│Wholesale Totex'!$C$165:$I$181, MATCH( H$32, 'CALCS│Wholesale Totex'!$C$2:$I$2, 0 ), 0 )</f>
        <v>-9.0438646902882142E-2</v>
      </c>
      <c r="I58" s="110">
        <f xml:space="preserve"> SMALL( 'CALCS│Wholesale Totex'!$I$165:$I$181, $C58 )</f>
        <v>-6.3580044337989985E-2</v>
      </c>
    </row>
    <row r="59" spans="3:9" outlineLevel="1" x14ac:dyDescent="0.25">
      <c r="C59" s="109">
        <v>5</v>
      </c>
      <c r="D59" s="231" t="str">
        <f xml:space="preserve"> INDEX( 'CALCS│Wholesale Totex'!$C$165:$C$181, MATCH( $I59, 'CALCS│Wholesale Totex'!$I$165:$I$181, 0 ) )</f>
        <v>SEW</v>
      </c>
      <c r="E59" s="118">
        <f xml:space="preserve"> VLOOKUP( $D59, 'CALCS│Wholesale Totex'!$C$165:$I$181, MATCH( E$32, 'CALCS│Wholesale Totex'!$C$2:$I$2, 0 ), 0 )</f>
        <v>-3.1169709263015637E-2</v>
      </c>
      <c r="F59" s="118">
        <f xml:space="preserve"> VLOOKUP( $D59, 'CALCS│Wholesale Totex'!$C$165:$I$181, MATCH( F$32, 'CALCS│Wholesale Totex'!$C$2:$I$2, 0 ), 0 )</f>
        <v>-5.772547728768937E-2</v>
      </c>
      <c r="G59" s="118">
        <f xml:space="preserve"> VLOOKUP( $D59, 'CALCS│Wholesale Totex'!$C$165:$I$181, MATCH( G$32, 'CALCS│Wholesale Totex'!$C$2:$I$2, 0 ), 0 )</f>
        <v>-7.3888770509269092E-2</v>
      </c>
      <c r="H59" s="118">
        <f xml:space="preserve"> VLOOKUP( $D59, 'CALCS│Wholesale Totex'!$C$165:$I$181, MATCH( H$32, 'CALCS│Wholesale Totex'!$C$2:$I$2, 0 ), 0 )</f>
        <v>-6.2521088651917758E-2</v>
      </c>
      <c r="I59" s="110">
        <f xml:space="preserve"> SMALL( 'CALCS│Wholesale Totex'!$I$165:$I$181, $C59 )</f>
        <v>-4.4414831981460109E-2</v>
      </c>
    </row>
    <row r="60" spans="3:9" outlineLevel="1" x14ac:dyDescent="0.25">
      <c r="C60" s="109">
        <v>6</v>
      </c>
      <c r="D60" s="231" t="str">
        <f xml:space="preserve"> INDEX( 'CALCS│Wholesale Totex'!$C$165:$C$181, MATCH( $I60, 'CALCS│Wholesale Totex'!$I$165:$I$181, 0 ) )</f>
        <v>SES</v>
      </c>
      <c r="E60" s="118">
        <f xml:space="preserve"> VLOOKUP( $D60, 'CALCS│Wholesale Totex'!$C$165:$I$181, MATCH( E$32, 'CALCS│Wholesale Totex'!$C$2:$I$2, 0 ), 0 )</f>
        <v>-5.0291857738159328E-2</v>
      </c>
      <c r="F60" s="118">
        <f xml:space="preserve"> VLOOKUP( $D60, 'CALCS│Wholesale Totex'!$C$165:$I$181, MATCH( F$32, 'CALCS│Wholesale Totex'!$C$2:$I$2, 0 ), 0 )</f>
        <v>-4.9900811048916013E-2</v>
      </c>
      <c r="G60" s="118">
        <f xml:space="preserve"> VLOOKUP( $D60, 'CALCS│Wholesale Totex'!$C$165:$I$181, MATCH( G$32, 'CALCS│Wholesale Totex'!$C$2:$I$2, 0 ), 0 )</f>
        <v>-5.6307178186461158E-2</v>
      </c>
      <c r="H60" s="118">
        <f xml:space="preserve"> VLOOKUP( $D60, 'CALCS│Wholesale Totex'!$C$165:$I$181, MATCH( H$32, 'CALCS│Wholesale Totex'!$C$2:$I$2, 0 ), 0 )</f>
        <v>-3.2654902745304845E-2</v>
      </c>
      <c r="I60" s="110">
        <f xml:space="preserve"> SMALL( 'CALCS│Wholesale Totex'!$I$165:$I$181, $C60 )</f>
        <v>-5.645022270927033E-3</v>
      </c>
    </row>
    <row r="61" spans="3:9" outlineLevel="1" x14ac:dyDescent="0.25">
      <c r="C61" s="109">
        <v>7</v>
      </c>
      <c r="D61" s="231" t="str">
        <f xml:space="preserve"> INDEX( 'CALCS│Wholesale Totex'!$C$165:$C$181, MATCH( $I61, 'CALCS│Wholesale Totex'!$I$165:$I$181, 0 ) )</f>
        <v>SVE</v>
      </c>
      <c r="E61" s="118">
        <f xml:space="preserve"> VLOOKUP( $D61, 'CALCS│Wholesale Totex'!$C$165:$I$181, MATCH( E$32, 'CALCS│Wholesale Totex'!$C$2:$I$2, 0 ), 0 )</f>
        <v>-1.8955136998848199E-2</v>
      </c>
      <c r="F61" s="118">
        <f xml:space="preserve"> VLOOKUP( $D61, 'CALCS│Wholesale Totex'!$C$165:$I$181, MATCH( F$32, 'CALCS│Wholesale Totex'!$C$2:$I$2, 0 ), 0 )</f>
        <v>-7.3415264431931637E-2</v>
      </c>
      <c r="G61" s="118">
        <f xml:space="preserve"> VLOOKUP( $D61, 'CALCS│Wholesale Totex'!$C$165:$I$181, MATCH( G$32, 'CALCS│Wholesale Totex'!$C$2:$I$2, 0 ), 0 )</f>
        <v>-7.7625059801299592E-2</v>
      </c>
      <c r="H61" s="118">
        <f xml:space="preserve"> VLOOKUP( $D61, 'CALCS│Wholesale Totex'!$C$165:$I$181, MATCH( H$32, 'CALCS│Wholesale Totex'!$C$2:$I$2, 0 ), 0 )</f>
        <v>-4.8201963435789572E-2</v>
      </c>
      <c r="I61" s="110">
        <f xml:space="preserve"> SMALL( 'CALCS│Wholesale Totex'!$I$165:$I$181, $C61 )</f>
        <v>-5.3535740543229002E-3</v>
      </c>
    </row>
    <row r="62" spans="3:9" outlineLevel="1" x14ac:dyDescent="0.25">
      <c r="C62" s="109">
        <v>8</v>
      </c>
      <c r="D62" s="231" t="str">
        <f xml:space="preserve"> INDEX( 'CALCS│Wholesale Totex'!$C$165:$C$181, MATCH( $I62, 'CALCS│Wholesale Totex'!$I$165:$I$181, 0 ) )</f>
        <v>SRN</v>
      </c>
      <c r="E62" s="118">
        <f xml:space="preserve"> VLOOKUP( $D62, 'CALCS│Wholesale Totex'!$C$165:$I$181, MATCH( E$32, 'CALCS│Wholesale Totex'!$C$2:$I$2, 0 ), 0 )</f>
        <v>-0.20534779090840971</v>
      </c>
      <c r="F62" s="118">
        <f xml:space="preserve"> VLOOKUP( $D62, 'CALCS│Wholesale Totex'!$C$165:$I$181, MATCH( F$32, 'CALCS│Wholesale Totex'!$C$2:$I$2, 0 ), 0 )</f>
        <v>-0.18843856737571726</v>
      </c>
      <c r="G62" s="118">
        <f xml:space="preserve"> VLOOKUP( $D62, 'CALCS│Wholesale Totex'!$C$165:$I$181, MATCH( G$32, 'CALCS│Wholesale Totex'!$C$2:$I$2, 0 ), 0 )</f>
        <v>-0.12969767683273678</v>
      </c>
      <c r="H62" s="118">
        <f xml:space="preserve"> VLOOKUP( $D62, 'CALCS│Wholesale Totex'!$C$165:$I$181, MATCH( H$32, 'CALCS│Wholesale Totex'!$C$2:$I$2, 0 ), 0 )</f>
        <v>-7.6862866431460994E-2</v>
      </c>
      <c r="I62" s="110">
        <f xml:space="preserve"> SMALL( 'CALCS│Wholesale Totex'!$I$165:$I$181, $C62 )</f>
        <v>-4.9242608849277151E-3</v>
      </c>
    </row>
    <row r="63" spans="3:9" outlineLevel="1" x14ac:dyDescent="0.25">
      <c r="C63" s="109">
        <v>9</v>
      </c>
      <c r="D63" s="231" t="str">
        <f xml:space="preserve"> INDEX( 'CALCS│Wholesale Totex'!$C$165:$C$181, MATCH( $I63, 'CALCS│Wholesale Totex'!$I$165:$I$181, 0 ) )</f>
        <v>PRT</v>
      </c>
      <c r="E63" s="118">
        <f xml:space="preserve"> VLOOKUP( $D63, 'CALCS│Wholesale Totex'!$C$165:$I$181, MATCH( E$32, 'CALCS│Wholesale Totex'!$C$2:$I$2, 0 ), 0 )</f>
        <v>-6.7885117493472494E-2</v>
      </c>
      <c r="F63" s="118">
        <f xml:space="preserve"> VLOOKUP( $D63, 'CALCS│Wholesale Totex'!$C$165:$I$181, MATCH( F$32, 'CALCS│Wholesale Totex'!$C$2:$I$2, 0 ), 0 )</f>
        <v>-3.0569666182873649E-2</v>
      </c>
      <c r="G63" s="118">
        <f xml:space="preserve"> VLOOKUP( $D63, 'CALCS│Wholesale Totex'!$C$165:$I$181, MATCH( G$32, 'CALCS│Wholesale Totex'!$C$2:$I$2, 0 ), 0 )</f>
        <v>-9.5752006458659805E-2</v>
      </c>
      <c r="H63" s="118">
        <f xml:space="preserve"> VLOOKUP( $D63, 'CALCS│Wholesale Totex'!$C$165:$I$181, MATCH( H$32, 'CALCS│Wholesale Totex'!$C$2:$I$2, 0 ), 0 )</f>
        <v>-3.8438449201215037E-2</v>
      </c>
      <c r="I63" s="110">
        <f xml:space="preserve"> SMALL( 'CALCS│Wholesale Totex'!$I$165:$I$181, $C63 )</f>
        <v>-1.2854310551427591E-3</v>
      </c>
    </row>
    <row r="64" spans="3:9" outlineLevel="1" x14ac:dyDescent="0.25">
      <c r="C64" s="109">
        <v>10</v>
      </c>
      <c r="D64" s="231" t="str">
        <f xml:space="preserve"> INDEX( 'CALCS│Wholesale Totex'!$C$165:$C$181, MATCH( $I64, 'CALCS│Wholesale Totex'!$I$165:$I$181, 0 ) )</f>
        <v>SSC</v>
      </c>
      <c r="E64" s="118">
        <f xml:space="preserve"> VLOOKUP( $D64, 'CALCS│Wholesale Totex'!$C$165:$I$181, MATCH( E$32, 'CALCS│Wholesale Totex'!$C$2:$I$2, 0 ), 0 )</f>
        <v>-5.4677817955678505E-2</v>
      </c>
      <c r="F64" s="118">
        <f xml:space="preserve"> VLOOKUP( $D64, 'CALCS│Wholesale Totex'!$C$165:$I$181, MATCH( F$32, 'CALCS│Wholesale Totex'!$C$2:$I$2, 0 ), 0 )</f>
        <v>-3.691949225013956E-2</v>
      </c>
      <c r="G64" s="118">
        <f xml:space="preserve"> VLOOKUP( $D64, 'CALCS│Wholesale Totex'!$C$165:$I$181, MATCH( G$32, 'CALCS│Wholesale Totex'!$C$2:$I$2, 0 ), 0 )</f>
        <v>-6.7620093532759721E-3</v>
      </c>
      <c r="H64" s="118">
        <f xml:space="preserve"> VLOOKUP( $D64, 'CALCS│Wholesale Totex'!$C$165:$I$181, MATCH( H$32, 'CALCS│Wholesale Totex'!$C$2:$I$2, 0 ), 0 )</f>
        <v>4.2542211614441773E-3</v>
      </c>
      <c r="I64" s="110">
        <f xml:space="preserve"> SMALL( 'CALCS│Wholesale Totex'!$I$165:$I$181, $C64 )</f>
        <v>8.0107913111338788E-3</v>
      </c>
    </row>
    <row r="65" spans="2:15" outlineLevel="1" x14ac:dyDescent="0.25">
      <c r="C65" s="109">
        <v>11</v>
      </c>
      <c r="D65" s="231" t="str">
        <f xml:space="preserve"> INDEX( 'CALCS│Wholesale Totex'!$C$165:$C$181, MATCH( $I65, 'CALCS│Wholesale Totex'!$I$165:$I$181, 0 ) )</f>
        <v>BRL</v>
      </c>
      <c r="E65" s="118">
        <f xml:space="preserve"> VLOOKUP( $D65, 'CALCS│Wholesale Totex'!$C$165:$I$181, MATCH( E$32, 'CALCS│Wholesale Totex'!$C$2:$I$2, 0 ), 0 )</f>
        <v>-0.26305858611353089</v>
      </c>
      <c r="F65" s="118">
        <f xml:space="preserve"> VLOOKUP( $D65, 'CALCS│Wholesale Totex'!$C$165:$I$181, MATCH( F$32, 'CALCS│Wholesale Totex'!$C$2:$I$2, 0 ), 0 )</f>
        <v>-0.18452327707799407</v>
      </c>
      <c r="G65" s="118">
        <f xml:space="preserve"> VLOOKUP( $D65, 'CALCS│Wholesale Totex'!$C$165:$I$181, MATCH( G$32, 'CALCS│Wholesale Totex'!$C$2:$I$2, 0 ), 0 )</f>
        <v>-9.4745202049314095E-2</v>
      </c>
      <c r="H65" s="118">
        <f xml:space="preserve"> VLOOKUP( $D65, 'CALCS│Wholesale Totex'!$C$165:$I$181, MATCH( H$32, 'CALCS│Wholesale Totex'!$C$2:$I$2, 0 ), 0 )</f>
        <v>-4.2356191509909283E-2</v>
      </c>
      <c r="I65" s="110">
        <f xml:space="preserve"> SMALL( 'CALCS│Wholesale Totex'!$I$165:$I$181, $C65 )</f>
        <v>1.0891780258708531E-2</v>
      </c>
    </row>
    <row r="66" spans="2:15" outlineLevel="1" x14ac:dyDescent="0.25">
      <c r="C66" s="109">
        <v>12</v>
      </c>
      <c r="D66" s="231" t="str">
        <f xml:space="preserve"> INDEX( 'CALCS│Wholesale Totex'!$C$165:$C$181, MATCH( $I66, 'CALCS│Wholesale Totex'!$I$165:$I$181, 0 ) )</f>
        <v>HDD</v>
      </c>
      <c r="E66" s="118">
        <f xml:space="preserve"> VLOOKUP( $D66, 'CALCS│Wholesale Totex'!$C$165:$I$181, MATCH( E$32, 'CALCS│Wholesale Totex'!$C$2:$I$2, 0 ), 0 )</f>
        <v>-0.24360924390363528</v>
      </c>
      <c r="F66" s="118">
        <f xml:space="preserve"> VLOOKUP( $D66, 'CALCS│Wholesale Totex'!$C$165:$I$181, MATCH( F$32, 'CALCS│Wholesale Totex'!$C$2:$I$2, 0 ), 0 )</f>
        <v>-0.22900002215771839</v>
      </c>
      <c r="G66" s="118">
        <f xml:space="preserve"> VLOOKUP( $D66, 'CALCS│Wholesale Totex'!$C$165:$I$181, MATCH( G$32, 'CALCS│Wholesale Totex'!$C$2:$I$2, 0 ), 0 )</f>
        <v>-0.10769277081232401</v>
      </c>
      <c r="H66" s="118">
        <f xml:space="preserve"> VLOOKUP( $D66, 'CALCS│Wholesale Totex'!$C$165:$I$181, MATCH( H$32, 'CALCS│Wholesale Totex'!$C$2:$I$2, 0 ), 0 )</f>
        <v>-3.0323244428867028E-2</v>
      </c>
      <c r="I66" s="110">
        <f xml:space="preserve"> SMALL( 'CALCS│Wholesale Totex'!$I$165:$I$181, $C66 )</f>
        <v>1.8414753080946877E-2</v>
      </c>
    </row>
    <row r="67" spans="2:15" outlineLevel="1" x14ac:dyDescent="0.25">
      <c r="C67" s="109">
        <v>13</v>
      </c>
      <c r="D67" s="231" t="str">
        <f xml:space="preserve"> INDEX( 'CALCS│Wholesale Totex'!$C$165:$C$181, MATCH( $I67, 'CALCS│Wholesale Totex'!$I$165:$I$181, 0 ) )</f>
        <v>AFW</v>
      </c>
      <c r="E67" s="118">
        <f xml:space="preserve"> VLOOKUP( $D67, 'CALCS│Wholesale Totex'!$C$165:$I$181, MATCH( E$32, 'CALCS│Wholesale Totex'!$C$2:$I$2, 0 ), 0 )</f>
        <v>-0.10541356492969364</v>
      </c>
      <c r="F67" s="118">
        <f xml:space="preserve"> VLOOKUP( $D67, 'CALCS│Wholesale Totex'!$C$165:$I$181, MATCH( F$32, 'CALCS│Wholesale Totex'!$C$2:$I$2, 0 ), 0 )</f>
        <v>-6.1664266611808204E-2</v>
      </c>
      <c r="G67" s="118">
        <f xml:space="preserve"> VLOOKUP( $D67, 'CALCS│Wholesale Totex'!$C$165:$I$181, MATCH( G$32, 'CALCS│Wholesale Totex'!$C$2:$I$2, 0 ), 0 )</f>
        <v>-2.655355097365401E-2</v>
      </c>
      <c r="H67" s="118">
        <f xml:space="preserve"> VLOOKUP( $D67, 'CALCS│Wholesale Totex'!$C$165:$I$181, MATCH( H$32, 'CALCS│Wholesale Totex'!$C$2:$I$2, 0 ), 0 )</f>
        <v>-2.6393146865164286E-3</v>
      </c>
      <c r="I67" s="110">
        <f xml:space="preserve"> SMALL( 'CALCS│Wholesale Totex'!$I$165:$I$181, $C67 )</f>
        <v>2.2111264649892368E-2</v>
      </c>
    </row>
    <row r="68" spans="2:15" outlineLevel="1" x14ac:dyDescent="0.25">
      <c r="C68" s="109">
        <v>14</v>
      </c>
      <c r="D68" s="231" t="str">
        <f xml:space="preserve"> INDEX( 'CALCS│Wholesale Totex'!$C$165:$C$181, MATCH( $I68, 'CALCS│Wholesale Totex'!$I$165:$I$181, 0 ) )</f>
        <v>YKY</v>
      </c>
      <c r="E68" s="118">
        <f xml:space="preserve"> VLOOKUP( $D68, 'CALCS│Wholesale Totex'!$C$165:$I$181, MATCH( E$32, 'CALCS│Wholesale Totex'!$C$2:$I$2, 0 ), 0 )</f>
        <v>-0.21966610230647537</v>
      </c>
      <c r="F68" s="118">
        <f xml:space="preserve"> VLOOKUP( $D68, 'CALCS│Wholesale Totex'!$C$165:$I$181, MATCH( F$32, 'CALCS│Wholesale Totex'!$C$2:$I$2, 0 ), 0 )</f>
        <v>-0.12802254314899617</v>
      </c>
      <c r="G68" s="118">
        <f xml:space="preserve"> VLOOKUP( $D68, 'CALCS│Wholesale Totex'!$C$165:$I$181, MATCH( G$32, 'CALCS│Wholesale Totex'!$C$2:$I$2, 0 ), 0 )</f>
        <v>-7.4378508035500085E-2</v>
      </c>
      <c r="H68" s="118">
        <f xml:space="preserve"> VLOOKUP( $D68, 'CALCS│Wholesale Totex'!$C$165:$I$181, MATCH( H$32, 'CALCS│Wholesale Totex'!$C$2:$I$2, 0 ), 0 )</f>
        <v>-2.5636009393322103E-4</v>
      </c>
      <c r="I68" s="110">
        <f xml:space="preserve"> SMALL( 'CALCS│Wholesale Totex'!$I$165:$I$181, $C68 )</f>
        <v>3.1219434075794555E-2</v>
      </c>
    </row>
    <row r="69" spans="2:15" outlineLevel="1" x14ac:dyDescent="0.25">
      <c r="C69" s="109">
        <v>15</v>
      </c>
      <c r="D69" s="231" t="str">
        <f xml:space="preserve"> INDEX( 'CALCS│Wholesale Totex'!$C$165:$C$181, MATCH( $I69, 'CALCS│Wholesale Totex'!$I$165:$I$181, 0 ) )</f>
        <v>WSH</v>
      </c>
      <c r="E69" s="118">
        <f xml:space="preserve"> VLOOKUP( $D69, 'CALCS│Wholesale Totex'!$C$165:$I$181, MATCH( E$32, 'CALCS│Wholesale Totex'!$C$2:$I$2, 0 ), 0 )</f>
        <v>-0.18255046289270013</v>
      </c>
      <c r="F69" s="118">
        <f xml:space="preserve"> VLOOKUP( $D69, 'CALCS│Wholesale Totex'!$C$165:$I$181, MATCH( F$32, 'CALCS│Wholesale Totex'!$C$2:$I$2, 0 ), 0 )</f>
        <v>-7.3854803940373567E-2</v>
      </c>
      <c r="G69" s="118">
        <f xml:space="preserve"> VLOOKUP( $D69, 'CALCS│Wholesale Totex'!$C$165:$I$181, MATCH( G$32, 'CALCS│Wholesale Totex'!$C$2:$I$2, 0 ), 0 )</f>
        <v>-9.323780736365259E-3</v>
      </c>
      <c r="H69" s="118">
        <f xml:space="preserve"> VLOOKUP( $D69, 'CALCS│Wholesale Totex'!$C$165:$I$181, MATCH( H$32, 'CALCS│Wholesale Totex'!$C$2:$I$2, 0 ), 0 )</f>
        <v>4.2841076603991959E-2</v>
      </c>
      <c r="I69" s="110">
        <f xml:space="preserve"> SMALL( 'CALCS│Wholesale Totex'!$I$165:$I$181, $C69 )</f>
        <v>6.1323993472443591E-2</v>
      </c>
    </row>
    <row r="70" spans="2:15" outlineLevel="1" x14ac:dyDescent="0.25">
      <c r="C70" s="109">
        <v>16</v>
      </c>
      <c r="D70" s="231" t="str">
        <f xml:space="preserve"> INDEX( 'CALCS│Wholesale Totex'!$C$165:$C$181, MATCH( $I70, 'CALCS│Wholesale Totex'!$I$165:$I$181, 0 ) )</f>
        <v>UU</v>
      </c>
      <c r="E70" s="118">
        <f xml:space="preserve"> VLOOKUP( $D70, 'CALCS│Wholesale Totex'!$C$165:$I$181, MATCH( E$32, 'CALCS│Wholesale Totex'!$C$2:$I$2, 0 ), 0 )</f>
        <v>0.15128554430412489</v>
      </c>
      <c r="F70" s="118">
        <f xml:space="preserve"> VLOOKUP( $D70, 'CALCS│Wholesale Totex'!$C$165:$I$181, MATCH( F$32, 'CALCS│Wholesale Totex'!$C$2:$I$2, 0 ), 0 )</f>
        <v>0.13149115973681241</v>
      </c>
      <c r="G70" s="118">
        <f xml:space="preserve"> VLOOKUP( $D70, 'CALCS│Wholesale Totex'!$C$165:$I$181, MATCH( G$32, 'CALCS│Wholesale Totex'!$C$2:$I$2, 0 ), 0 )</f>
        <v>9.8226529223528716E-2</v>
      </c>
      <c r="H70" s="118">
        <f xml:space="preserve"> VLOOKUP( $D70, 'CALCS│Wholesale Totex'!$C$165:$I$181, MATCH( H$32, 'CALCS│Wholesale Totex'!$C$2:$I$2, 0 ), 0 )</f>
        <v>7.3268047251425536E-2</v>
      </c>
      <c r="I70" s="110">
        <f xml:space="preserve"> SMALL( 'CALCS│Wholesale Totex'!$I$165:$I$181, $C70 )</f>
        <v>6.668970205130674E-2</v>
      </c>
    </row>
    <row r="71" spans="2:15" outlineLevel="1" x14ac:dyDescent="0.25">
      <c r="C71" s="109">
        <v>17</v>
      </c>
      <c r="D71" s="231" t="str">
        <f xml:space="preserve"> INDEX( 'CALCS│Wholesale Totex'!$C$165:$C$181, MATCH( $I71, 'CALCS│Wholesale Totex'!$I$165:$I$181, 0 ) )</f>
        <v>TMS</v>
      </c>
      <c r="E71" s="118">
        <f xml:space="preserve"> VLOOKUP( $D71, 'CALCS│Wholesale Totex'!$C$165:$I$181, MATCH( E$32, 'CALCS│Wholesale Totex'!$C$2:$I$2, 0 ), 0 )</f>
        <v>3.7524214574987287E-2</v>
      </c>
      <c r="F71" s="118">
        <f xml:space="preserve"> VLOOKUP( $D71, 'CALCS│Wholesale Totex'!$C$165:$I$181, MATCH( F$32, 'CALCS│Wholesale Totex'!$C$2:$I$2, 0 ), 0 )</f>
        <v>4.2708379882725314E-2</v>
      </c>
      <c r="G71" s="118">
        <f xml:space="preserve"> VLOOKUP( $D71, 'CALCS│Wholesale Totex'!$C$165:$I$181, MATCH( G$32, 'CALCS│Wholesale Totex'!$C$2:$I$2, 0 ), 0 )</f>
        <v>4.1916291207906652E-2</v>
      </c>
      <c r="H71" s="118">
        <f xml:space="preserve"> VLOOKUP( $D71, 'CALCS│Wholesale Totex'!$C$165:$I$181, MATCH( H$32, 'CALCS│Wholesale Totex'!$C$2:$I$2, 0 ), 0 )</f>
        <v>6.3487531339175687E-2</v>
      </c>
      <c r="I71" s="110">
        <f xml:space="preserve"> SMALL( 'CALCS│Wholesale Totex'!$I$165:$I$181, $C71 )</f>
        <v>8.8599241427931769E-2</v>
      </c>
    </row>
    <row r="72" spans="2:15" outlineLevel="1" x14ac:dyDescent="0.25">
      <c r="D72" s="76" t="s">
        <v>424</v>
      </c>
      <c r="E72" s="118">
        <f>'CALCS│Wholesale Totex'!E183</f>
        <v>-5.7912574733999328E-2</v>
      </c>
      <c r="F72" s="118">
        <f>'CALCS│Wholesale Totex'!F183</f>
        <v>-5.6964817973794366E-2</v>
      </c>
      <c r="G72" s="118">
        <f>'CALCS│Wholesale Totex'!G183</f>
        <v>-4.1272393721018291E-2</v>
      </c>
      <c r="H72" s="118">
        <f>'CALCS│Wholesale Totex'!H183</f>
        <v>-1.5982000278121789E-2</v>
      </c>
      <c r="I72" s="118">
        <f>'CALCS│Wholesale Totex'!I183</f>
        <v>8.3880953845943875E-3</v>
      </c>
    </row>
    <row r="74" spans="2:15" ht="13.5" x14ac:dyDescent="0.35">
      <c r="B74" s="9" t="s">
        <v>608</v>
      </c>
      <c r="C74" s="9"/>
      <c r="D74" s="9"/>
      <c r="E74" s="10"/>
      <c r="F74" s="9"/>
      <c r="G74" s="9"/>
      <c r="H74" s="9"/>
      <c r="I74" s="9"/>
      <c r="J74" s="9"/>
      <c r="K74" s="9"/>
      <c r="L74" s="9"/>
      <c r="M74" s="9"/>
      <c r="N74" s="9"/>
      <c r="O74" s="9"/>
    </row>
    <row r="75" spans="2:15" outlineLevel="1" x14ac:dyDescent="0.25"/>
    <row r="76" spans="2:15" ht="13.5" outlineLevel="1" x14ac:dyDescent="0.35">
      <c r="B76" s="32" t="s">
        <v>609</v>
      </c>
      <c r="C76" s="32"/>
      <c r="D76" s="32"/>
      <c r="E76" s="32"/>
      <c r="F76" s="32"/>
      <c r="G76" s="32"/>
      <c r="H76" s="32"/>
      <c r="I76" s="32"/>
      <c r="J76" s="32" t="s">
        <v>610</v>
      </c>
      <c r="K76" s="32"/>
      <c r="L76" s="32"/>
      <c r="M76" s="32"/>
      <c r="N76" s="32"/>
      <c r="O76" s="32"/>
    </row>
    <row r="77" spans="2:15" outlineLevel="1" x14ac:dyDescent="0.25"/>
    <row r="78" spans="2:15" ht="57" customHeight="1" outlineLevel="1" x14ac:dyDescent="0.25">
      <c r="C78" s="288" t="s">
        <v>223</v>
      </c>
      <c r="D78" s="322" t="str">
        <f xml:space="preserve"> "Cumulative performance 2015-" &amp; RIGHT( Last_year, 2 )</f>
        <v>Cumulative performance 2015-19</v>
      </c>
      <c r="E78" s="322" t="str">
        <f xml:space="preserve"> "Improvement to 2015-" &amp; RIGHT( Year, 2 )</f>
        <v>Improvement to 2015-20</v>
      </c>
      <c r="J78" s="248"/>
      <c r="K78" s="289" t="s">
        <v>611</v>
      </c>
      <c r="L78" s="289" t="s">
        <v>612</v>
      </c>
      <c r="M78" s="417" t="str">
        <f xml:space="preserve"> "Cumulative performance 2015-" &amp; RIGHT( Year, 2 )</f>
        <v>Cumulative performance 2015-20</v>
      </c>
      <c r="N78" s="418"/>
    </row>
    <row r="79" spans="2:15" s="79" customFormat="1" ht="16.149999999999999" customHeight="1" outlineLevel="1" x14ac:dyDescent="0.3">
      <c r="B79" s="283"/>
      <c r="C79" s="178" t="s">
        <v>80</v>
      </c>
      <c r="D79" s="331">
        <f xml:space="preserve"> VLOOKUP( $C79, 'CALCS│Residential Retail'!$C$329:$I$345, MATCH( Last_year, 'CALCS│Residential Retail'!$C$2:$I$2, 0 ), 0 )</f>
        <v>-8.9765873370247862E-4</v>
      </c>
      <c r="E79" s="110">
        <f t="shared" ref="E79:E95" si="1" xml:space="preserve"> IFERROR( ( N79 - D79 ) / ABS( D79 ), "-" )</f>
        <v>39.226946413360075</v>
      </c>
      <c r="F79" s="283"/>
      <c r="G79" s="283"/>
      <c r="H79" s="283"/>
      <c r="I79" s="321"/>
      <c r="J79" s="258" t="str">
        <f xml:space="preserve"> VLOOKUP( $C79, 'Map &amp; Key'!$C$78:$D$98, 2, 0 )</f>
        <v>Anglian Water</v>
      </c>
      <c r="K79" s="249">
        <f xml:space="preserve"> VLOOKUP( $C79, 'CALCS│Residential Retail'!$C$289:$I$305, MATCH( Year, 'CALCS│Residential Retail'!$C$2:$I$2, 0 ), 0 )</f>
        <v>386.91235806159148</v>
      </c>
      <c r="L79" s="249">
        <f xml:space="preserve"> VLOOKUP( $C79, 'CALCS│Residential Retail'!$C$269:$I$285, MATCH( Year, 'CALCS│Residential Retail'!$C$2:$I$2, 0 ), 0 )</f>
        <v>374.07603168880945</v>
      </c>
      <c r="M79" s="111" t="str">
        <f xml:space="preserve"> IF( ABS( E79 ) &lt;= 0.01, 'Map &amp; Key'!$G$71, IF( E79 &gt; 0, 'Map &amp; Key'!$G$70, 'Map &amp; Key'!$G$72 ) )</f>
        <v>▼</v>
      </c>
      <c r="N79" s="277">
        <f xml:space="preserve"> VLOOKUP( $C79, 'CALCS│Residential Retail'!$C$329:$I$345, MATCH( Year, 'CALCS│Residential Retail'!$C$2:$I$2, 0 ), 0 )</f>
        <v>3.4314752310729314E-2</v>
      </c>
      <c r="O79" s="283"/>
    </row>
    <row r="80" spans="2:15" s="79" customFormat="1" ht="16.149999999999999" customHeight="1" outlineLevel="1" x14ac:dyDescent="0.3">
      <c r="B80" s="283"/>
      <c r="C80" s="178" t="s">
        <v>82</v>
      </c>
      <c r="D80" s="331">
        <f xml:space="preserve"> VLOOKUP( $C80, 'CALCS│Residential Retail'!$C$329:$I$345, MATCH( Last_year, 'CALCS│Residential Retail'!$C$2:$I$2, 0 ), 0 )</f>
        <v>0.12453595019916663</v>
      </c>
      <c r="E80" s="110">
        <f t="shared" si="1"/>
        <v>0.12951158905335769</v>
      </c>
      <c r="F80" s="283"/>
      <c r="G80" s="283"/>
      <c r="H80" s="283"/>
      <c r="I80" s="321"/>
      <c r="J80" s="258" t="str">
        <f xml:space="preserve"> VLOOKUP( $C80, 'Map &amp; Key'!$C$78:$D$98, 2, 0 )</f>
        <v>Dŵr Cymru</v>
      </c>
      <c r="K80" s="259">
        <f xml:space="preserve"> VLOOKUP( $C80, 'CALCS│Residential Retail'!$C$289:$I$305, MATCH( Year, 'CALCS│Residential Retail'!$C$2:$I$2, 0 ), 0 )</f>
        <v>294.82499999999999</v>
      </c>
      <c r="L80" s="259">
        <f xml:space="preserve"> VLOOKUP( $C80, 'CALCS│Residential Retail'!$C$269:$I$285, MATCH( Year, 'CALCS│Residential Retail'!$C$2:$I$2, 0 ), 0 )</f>
        <v>258.46769380233656</v>
      </c>
      <c r="M80" s="112" t="str">
        <f xml:space="preserve"> IF( ABS( E80 ) &lt;= 0.01, 'Map &amp; Key'!$G$71, IF( E80 &gt; 0, 'Map &amp; Key'!$G$70, 'Map &amp; Key'!$G$72 ) )</f>
        <v>▼</v>
      </c>
      <c r="N80" s="277">
        <f xml:space="preserve"> VLOOKUP( $C80, 'CALCS│Residential Retail'!$C$329:$I$345, MATCH( Year, 'CALCS│Residential Retail'!$C$2:$I$2, 0 ), 0 )</f>
        <v>0.14066479900373052</v>
      </c>
      <c r="O80" s="283"/>
    </row>
    <row r="81" spans="3:14" s="79" customFormat="1" ht="16.149999999999999" customHeight="1" outlineLevel="1" x14ac:dyDescent="0.3">
      <c r="C81" s="178" t="s">
        <v>85</v>
      </c>
      <c r="D81" s="331">
        <f xml:space="preserve"> VLOOKUP( $C81, 'CALCS│Residential Retail'!$C$329:$I$345, MATCH( Last_year, 'CALCS│Residential Retail'!$C$2:$I$2, 0 ), 0 )</f>
        <v>-1.9770300364896937E-2</v>
      </c>
      <c r="E81" s="110">
        <f t="shared" si="1"/>
        <v>2.9034327737713288</v>
      </c>
      <c r="F81" s="283"/>
      <c r="G81" s="283"/>
      <c r="H81" s="283"/>
      <c r="I81" s="321"/>
      <c r="J81" s="258" t="str">
        <f xml:space="preserve"> VLOOKUP( $C81, 'Map &amp; Key'!$C$78:$D$98, 2, 0 )</f>
        <v>Hafren Dyfrdwy</v>
      </c>
      <c r="K81" s="249">
        <f xml:space="preserve"> VLOOKUP( $C81, 'CALCS│Residential Retail'!$C$289:$I$305, MATCH( Year, 'CALCS│Residential Retail'!$C$2:$I$2, 0 ), 0 )</f>
        <v>13.344412188020858</v>
      </c>
      <c r="L81" s="249">
        <f xml:space="preserve"> VLOOKUP( $C81, 'CALCS│Residential Retail'!$C$269:$I$285, MATCH( Year, 'CALCS│Residential Retail'!$C$2:$I$2, 0 ), 0 )</f>
        <v>12.860454785458847</v>
      </c>
      <c r="M81" s="111" t="str">
        <f xml:space="preserve"> IF( ABS( E81 ) &lt;= 0.01, 'Map &amp; Key'!$G$71, IF( E81 &gt; 0, 'Map &amp; Key'!$G$70, 'Map &amp; Key'!$G$72 ) )</f>
        <v>▼</v>
      </c>
      <c r="N81" s="277">
        <f xml:space="preserve"> VLOOKUP( $C81, 'CALCS│Residential Retail'!$C$329:$I$345, MATCH( Year, 'CALCS│Residential Retail'!$C$2:$I$2, 0 ), 0 )</f>
        <v>3.7631437661848094E-2</v>
      </c>
    </row>
    <row r="82" spans="3:14" s="79" customFormat="1" ht="16.149999999999999" customHeight="1" outlineLevel="1" x14ac:dyDescent="0.3">
      <c r="C82" s="178" t="s">
        <v>87</v>
      </c>
      <c r="D82" s="331">
        <f xml:space="preserve"> VLOOKUP( $C82, 'CALCS│Residential Retail'!$C$329:$I$345, MATCH( Last_year, 'CALCS│Residential Retail'!$C$2:$I$2, 0 ), 0 )</f>
        <v>-7.6832239178960079E-2</v>
      </c>
      <c r="E82" s="110">
        <f t="shared" si="1"/>
        <v>0.82841891552630531</v>
      </c>
      <c r="F82" s="283"/>
      <c r="G82" s="283"/>
      <c r="H82" s="283"/>
      <c r="I82" s="321"/>
      <c r="J82" s="258" t="str">
        <f xml:space="preserve"> VLOOKUP( $C82, 'Map &amp; Key'!$C$78:$D$98, 2, 0 )</f>
        <v>Northumbrian Water</v>
      </c>
      <c r="K82" s="259">
        <f xml:space="preserve"> VLOOKUP( $C82, 'CALCS│Residential Retail'!$C$289:$I$305, MATCH( Year, 'CALCS│Residential Retail'!$C$2:$I$2, 0 ), 0 )</f>
        <v>262.44900000000001</v>
      </c>
      <c r="L82" s="259">
        <f xml:space="preserve"> VLOOKUP( $C82, 'CALCS│Residential Retail'!$C$269:$I$285, MATCH( Year, 'CALCS│Residential Retail'!$C$2:$I$2, 0 ), 0 )</f>
        <v>265.95507482623066</v>
      </c>
      <c r="M82" s="112" t="str">
        <f xml:space="preserve"> IF( ABS( E82 ) &lt;= 0.01, 'Map &amp; Key'!$G$71, IF( E82 &gt; 0, 'Map &amp; Key'!$G$70, 'Map &amp; Key'!$G$72 ) )</f>
        <v>▼</v>
      </c>
      <c r="N82" s="277">
        <f xml:space="preserve"> VLOOKUP( $C82, 'CALCS│Residential Retail'!$C$329:$I$345, MATCH( Year, 'CALCS│Residential Retail'!$C$2:$I$2, 0 ), 0 )</f>
        <v>-1.3182958920868267E-2</v>
      </c>
    </row>
    <row r="83" spans="3:14" s="79" customFormat="1" ht="16.149999999999999" customHeight="1" outlineLevel="1" x14ac:dyDescent="0.3">
      <c r="C83" s="178" t="s">
        <v>89</v>
      </c>
      <c r="D83" s="331">
        <f xml:space="preserve"> VLOOKUP( $C83, 'CALCS│Residential Retail'!$C$329:$I$345, MATCH( Last_year, 'CALCS│Residential Retail'!$C$2:$I$2, 0 ), 0 )</f>
        <v>-0.1826148536507525</v>
      </c>
      <c r="E83" s="110">
        <f t="shared" si="1"/>
        <v>0.20144431133866753</v>
      </c>
      <c r="F83" s="283"/>
      <c r="G83" s="283"/>
      <c r="H83" s="283"/>
      <c r="I83" s="321"/>
      <c r="J83" s="258" t="str">
        <f xml:space="preserve"> VLOOKUP( $C83, 'Map &amp; Key'!$C$78:$D$98, 2, 0 )</f>
        <v>Severn Trent Water</v>
      </c>
      <c r="K83" s="249">
        <f xml:space="preserve"> VLOOKUP( $C83, 'CALCS│Residential Retail'!$C$289:$I$305, MATCH( Year, 'CALCS│Residential Retail'!$C$2:$I$2, 0 ), 0 )</f>
        <v>480.05900000000003</v>
      </c>
      <c r="L83" s="249">
        <f xml:space="preserve"> VLOOKUP( $C83, 'CALCS│Residential Retail'!$C$269:$I$285, MATCH( Year, 'CALCS│Residential Retail'!$C$2:$I$2, 0 ), 0 )</f>
        <v>562.01686918334349</v>
      </c>
      <c r="M83" s="111" t="str">
        <f xml:space="preserve"> IF( ABS( E83 ) &lt;= 0.01, 'Map &amp; Key'!$G$71, IF( E83 &gt; 0, 'Map &amp; Key'!$G$70, 'Map &amp; Key'!$G$72 ) )</f>
        <v>▼</v>
      </c>
      <c r="N83" s="277">
        <f xml:space="preserve"> VLOOKUP( $C83, 'CALCS│Residential Retail'!$C$329:$I$345, MATCH( Year, 'CALCS│Residential Retail'!$C$2:$I$2, 0 ), 0 )</f>
        <v>-0.14582813021686511</v>
      </c>
    </row>
    <row r="84" spans="3:14" s="79" customFormat="1" ht="16.149999999999999" customHeight="1" outlineLevel="1" x14ac:dyDescent="0.3">
      <c r="C84" s="178" t="s">
        <v>91</v>
      </c>
      <c r="D84" s="331">
        <f xml:space="preserve"> VLOOKUP( $C84, 'CALCS│Residential Retail'!$C$329:$I$345, MATCH( Last_year, 'CALCS│Residential Retail'!$C$2:$I$2, 0 ), 0 )</f>
        <v>-0.10954442490942735</v>
      </c>
      <c r="E84" s="110">
        <f t="shared" si="1"/>
        <v>-7.5885836379669946E-2</v>
      </c>
      <c r="F84" s="283"/>
      <c r="G84" s="283"/>
      <c r="H84" s="283"/>
      <c r="I84" s="321"/>
      <c r="J84" s="258" t="str">
        <f xml:space="preserve"> VLOOKUP( $C84, 'Map &amp; Key'!$C$78:$D$98, 2, 0 )</f>
        <v>South West Water</v>
      </c>
      <c r="K84" s="259">
        <f xml:space="preserve"> VLOOKUP( $C84, 'CALCS│Residential Retail'!$C$289:$I$305, MATCH( Year, 'CALCS│Residential Retail'!$C$2:$I$2, 0 ), 0 )</f>
        <v>155.94749999999999</v>
      </c>
      <c r="L84" s="259">
        <f xml:space="preserve"> VLOOKUP( $C84, 'CALCS│Residential Retail'!$C$269:$I$285, MATCH( Year, 'CALCS│Residential Retail'!$C$2:$I$2, 0 ), 0 )</f>
        <v>176.78262162571963</v>
      </c>
      <c r="M84" s="112" t="str">
        <f xml:space="preserve"> IF( ABS( E84 ) &lt;= 0.01, 'Map &amp; Key'!$G$71, IF( E84 &gt; 0, 'Map &amp; Key'!$G$70, 'Map &amp; Key'!$G$72 ) )</f>
        <v>▲</v>
      </c>
      <c r="N84" s="277">
        <f xml:space="preserve"> VLOOKUP( $C84, 'CALCS│Residential Retail'!$C$329:$I$345, MATCH( Year, 'CALCS│Residential Retail'!$C$2:$I$2, 0 ), 0 )</f>
        <v>-0.1178572952144092</v>
      </c>
    </row>
    <row r="85" spans="3:14" s="79" customFormat="1" ht="16.149999999999999" customHeight="1" outlineLevel="1" x14ac:dyDescent="0.3">
      <c r="C85" s="178" t="s">
        <v>94</v>
      </c>
      <c r="D85" s="331">
        <f xml:space="preserve"> VLOOKUP( $C85, 'CALCS│Residential Retail'!$C$329:$I$345, MATCH( Last_year, 'CALCS│Residential Retail'!$C$2:$I$2, 0 ), 0 )</f>
        <v>0.31338629974271082</v>
      </c>
      <c r="E85" s="110">
        <f t="shared" si="1"/>
        <v>0.14809331453201455</v>
      </c>
      <c r="F85" s="283"/>
      <c r="G85" s="283"/>
      <c r="H85" s="283"/>
      <c r="I85" s="321"/>
      <c r="J85" s="258" t="str">
        <f xml:space="preserve"> VLOOKUP( $C85, 'Map &amp; Key'!$C$78:$D$98, 2, 0 )</f>
        <v>Southern Water</v>
      </c>
      <c r="K85" s="249">
        <f xml:space="preserve"> VLOOKUP( $C85, 'CALCS│Residential Retail'!$C$289:$I$305, MATCH( Year, 'CALCS│Residential Retail'!$C$2:$I$2, 0 ), 0 )</f>
        <v>388.786</v>
      </c>
      <c r="L85" s="249">
        <f xml:space="preserve"> VLOOKUP( $C85, 'CALCS│Residential Retail'!$C$269:$I$285, MATCH( Year, 'CALCS│Residential Retail'!$C$2:$I$2, 0 ), 0 )</f>
        <v>285.91479560111964</v>
      </c>
      <c r="M85" s="111" t="str">
        <f xml:space="preserve"> IF( ABS( E85 ) &lt;= 0.01, 'Map &amp; Key'!$G$71, IF( E85 &gt; 0, 'Map &amp; Key'!$G$70, 'Map &amp; Key'!$G$72 ) )</f>
        <v>▼</v>
      </c>
      <c r="N85" s="277">
        <f xml:space="preserve"> VLOOKUP( $C85, 'CALCS│Residential Retail'!$C$329:$I$345, MATCH( Year, 'CALCS│Residential Retail'!$C$2:$I$2, 0 ), 0 )</f>
        <v>0.35979671560053228</v>
      </c>
    </row>
    <row r="86" spans="3:14" s="79" customFormat="1" ht="16.149999999999999" customHeight="1" outlineLevel="1" x14ac:dyDescent="0.3">
      <c r="C86" s="178" t="s">
        <v>96</v>
      </c>
      <c r="D86" s="331">
        <f xml:space="preserve"> VLOOKUP( $C86, 'CALCS│Residential Retail'!$C$329:$I$345, MATCH( Last_year, 'CALCS│Residential Retail'!$C$2:$I$2, 0 ), 0 )</f>
        <v>8.6853171815163818E-2</v>
      </c>
      <c r="E86" s="110">
        <f t="shared" si="1"/>
        <v>0.67872301237416521</v>
      </c>
      <c r="F86" s="283"/>
      <c r="G86" s="283"/>
      <c r="H86" s="283"/>
      <c r="I86" s="321"/>
      <c r="J86" s="258" t="str">
        <f xml:space="preserve"> VLOOKUP( $C86, 'Map &amp; Key'!$C$78:$D$98, 2, 0 )</f>
        <v>Thames Water</v>
      </c>
      <c r="K86" s="259">
        <f xml:space="preserve"> VLOOKUP( $C86, 'CALCS│Residential Retail'!$C$289:$I$305, MATCH( Year, 'CALCS│Residential Retail'!$C$2:$I$2, 0 ), 0 )</f>
        <v>892.12393973624705</v>
      </c>
      <c r="L86" s="259">
        <f xml:space="preserve"> VLOOKUP( $C86, 'CALCS│Residential Retail'!$C$269:$I$285, MATCH( Year, 'CALCS│Residential Retail'!$C$2:$I$2, 0 ), 0 )</f>
        <v>778.60189989753871</v>
      </c>
      <c r="M86" s="112" t="str">
        <f xml:space="preserve"> IF( ABS( E86 ) &lt;= 0.01, 'Map &amp; Key'!$G$71, IF( E86 &gt; 0, 'Map &amp; Key'!$G$70, 'Map &amp; Key'!$G$72 ) )</f>
        <v>▼</v>
      </c>
      <c r="N86" s="277">
        <f xml:space="preserve"> VLOOKUP( $C86, 'CALCS│Residential Retail'!$C$329:$I$345, MATCH( Year, 'CALCS│Residential Retail'!$C$2:$I$2, 0 ), 0 )</f>
        <v>0.14580241822380274</v>
      </c>
    </row>
    <row r="87" spans="3:14" s="79" customFormat="1" ht="16.149999999999999" customHeight="1" outlineLevel="1" x14ac:dyDescent="0.3">
      <c r="C87" s="178" t="s">
        <v>98</v>
      </c>
      <c r="D87" s="331">
        <f xml:space="preserve"> VLOOKUP( $C87, 'CALCS│Residential Retail'!$C$329:$I$345, MATCH( Last_year, 'CALCS│Residential Retail'!$C$2:$I$2, 0 ), 0 )</f>
        <v>-1.5631249980451224E-2</v>
      </c>
      <c r="E87" s="110">
        <f t="shared" si="1"/>
        <v>2.1047295911804769</v>
      </c>
      <c r="F87" s="283"/>
      <c r="G87" s="283"/>
      <c r="H87" s="283"/>
      <c r="I87" s="321"/>
      <c r="J87" s="258" t="str">
        <f xml:space="preserve"> VLOOKUP( $C87, 'Map &amp; Key'!$C$78:$D$98, 2, 0 )</f>
        <v>United Utilities</v>
      </c>
      <c r="K87" s="249">
        <f xml:space="preserve"> VLOOKUP( $C87, 'CALCS│Residential Retail'!$C$289:$I$305, MATCH( Year, 'CALCS│Residential Retail'!$C$2:$I$2, 0 ), 0 )</f>
        <v>585.33045260929327</v>
      </c>
      <c r="L87" s="249">
        <f xml:space="preserve"> VLOOKUP( $C87, 'CALCS│Residential Retail'!$C$269:$I$285, MATCH( Year, 'CALCS│Residential Retail'!$C$2:$I$2, 0 ), 0 )</f>
        <v>575.39436752058941</v>
      </c>
      <c r="M87" s="111" t="str">
        <f xml:space="preserve"> IF( ABS( E87 ) &lt;= 0.01, 'Map &amp; Key'!$G$71, IF( E87 &gt; 0, 'Map &amp; Key'!$G$70, 'Map &amp; Key'!$G$72 ) )</f>
        <v>▼</v>
      </c>
      <c r="N87" s="277">
        <f xml:space="preserve"> VLOOKUP( $C87, 'CALCS│Residential Retail'!$C$329:$I$345, MATCH( Year, 'CALCS│Residential Retail'!$C$2:$I$2, 0 ), 0 )</f>
        <v>1.7268304400543714E-2</v>
      </c>
    </row>
    <row r="88" spans="3:14" s="79" customFormat="1" ht="16.149999999999999" customHeight="1" outlineLevel="1" x14ac:dyDescent="0.3">
      <c r="C88" s="178" t="s">
        <v>100</v>
      </c>
      <c r="D88" s="331">
        <f xml:space="preserve"> VLOOKUP( $C88, 'CALCS│Residential Retail'!$C$329:$I$345, MATCH( Last_year, 'CALCS│Residential Retail'!$C$2:$I$2, 0 ), 0 )</f>
        <v>-7.2009389607536542E-2</v>
      </c>
      <c r="E88" s="110">
        <f t="shared" si="1"/>
        <v>0.44491410222832617</v>
      </c>
      <c r="F88" s="283"/>
      <c r="G88" s="283"/>
      <c r="H88" s="283"/>
      <c r="I88" s="321"/>
      <c r="J88" s="258" t="str">
        <f xml:space="preserve"> VLOOKUP( $C88, 'Map &amp; Key'!$C$78:$D$98, 2, 0 )</f>
        <v>Wessex Water</v>
      </c>
      <c r="K88" s="259">
        <f xml:space="preserve"> VLOOKUP( $C88, 'CALCS│Residential Retail'!$C$289:$I$305, MATCH( Year, 'CALCS│Residential Retail'!$C$2:$I$2, 0 ), 0 )</f>
        <v>154.56251878189141</v>
      </c>
      <c r="L88" s="259">
        <f xml:space="preserve"> VLOOKUP( $C88, 'CALCS│Residential Retail'!$C$269:$I$285, MATCH( Year, 'CALCS│Residential Retail'!$C$2:$I$2, 0 ), 0 )</f>
        <v>160.9978267804764</v>
      </c>
      <c r="M88" s="112" t="str">
        <f xml:space="preserve"> IF( ABS( E88 ) &lt;= 0.01, 'Map &amp; Key'!$G$71, IF( E88 &gt; 0, 'Map &amp; Key'!$G$70, 'Map &amp; Key'!$G$72 ) )</f>
        <v>▼</v>
      </c>
      <c r="N88" s="277">
        <f xml:space="preserve"> VLOOKUP( $C88, 'CALCS│Residential Retail'!$C$329:$I$345, MATCH( Year, 'CALCS│Residential Retail'!$C$2:$I$2, 0 ), 0 )</f>
        <v>-3.997139667828966E-2</v>
      </c>
    </row>
    <row r="89" spans="3:14" s="79" customFormat="1" ht="16.149999999999999" customHeight="1" outlineLevel="1" x14ac:dyDescent="0.3">
      <c r="C89" s="178" t="s">
        <v>102</v>
      </c>
      <c r="D89" s="331">
        <f xml:space="preserve"> VLOOKUP( $C89, 'CALCS│Residential Retail'!$C$329:$I$345, MATCH( Last_year, 'CALCS│Residential Retail'!$C$2:$I$2, 0 ), 0 )</f>
        <v>3.790303677311611E-3</v>
      </c>
      <c r="E89" s="110">
        <f t="shared" si="1"/>
        <v>8.2572575944133444</v>
      </c>
      <c r="F89" s="283"/>
      <c r="G89" s="283"/>
      <c r="H89" s="283"/>
      <c r="I89" s="321"/>
      <c r="J89" s="258" t="str">
        <f xml:space="preserve"> VLOOKUP( $C89, 'Map &amp; Key'!$C$78:$D$98, 2, 0 )</f>
        <v>Yorkshire Water</v>
      </c>
      <c r="K89" s="249">
        <f xml:space="preserve"> VLOOKUP( $C89, 'CALCS│Residential Retail'!$C$289:$I$305, MATCH( Year, 'CALCS│Residential Retail'!$C$2:$I$2, 0 ), 0 )</f>
        <v>296.4563</v>
      </c>
      <c r="L89" s="249">
        <f xml:space="preserve"> VLOOKUP( $C89, 'CALCS│Residential Retail'!$C$269:$I$285, MATCH( Year, 'CALCS│Residential Retail'!$C$2:$I$2, 0 ), 0 )</f>
        <v>286.40690672552375</v>
      </c>
      <c r="M89" s="111" t="str">
        <f xml:space="preserve"> IF( ABS( E89 ) &lt;= 0.01, 'Map &amp; Key'!$G$71, IF( E89 &gt; 0, 'Map &amp; Key'!$G$70, 'Map &amp; Key'!$G$72 ) )</f>
        <v>▼</v>
      </c>
      <c r="N89" s="277">
        <f xml:space="preserve"> VLOOKUP( $C89, 'CALCS│Residential Retail'!$C$329:$I$345, MATCH( Year, 'CALCS│Residential Retail'!$C$2:$I$2, 0 ), 0 )</f>
        <v>3.5087817501925737E-2</v>
      </c>
    </row>
    <row r="90" spans="3:14" s="79" customFormat="1" ht="16.149999999999999" customHeight="1" outlineLevel="1" x14ac:dyDescent="0.3">
      <c r="C90" s="178" t="s">
        <v>104</v>
      </c>
      <c r="D90" s="331">
        <f xml:space="preserve"> VLOOKUP( $C90, 'CALCS│Residential Retail'!$C$329:$I$345, MATCH( Last_year, 'CALCS│Residential Retail'!$C$2:$I$2, 0 ), 0 )</f>
        <v>0.13228822367862264</v>
      </c>
      <c r="E90" s="110">
        <f t="shared" si="1"/>
        <v>0.11686451741369877</v>
      </c>
      <c r="F90" s="283"/>
      <c r="G90" s="283"/>
      <c r="H90" s="283"/>
      <c r="I90" s="321"/>
      <c r="J90" s="258" t="str">
        <f xml:space="preserve"> VLOOKUP( $C90, 'Map &amp; Key'!$C$78:$D$98, 2, 0 )</f>
        <v>Affinity Water</v>
      </c>
      <c r="K90" s="259">
        <f xml:space="preserve"> VLOOKUP( $C90, 'CALCS│Residential Retail'!$C$289:$I$305, MATCH( Year, 'CALCS│Residential Retail'!$C$2:$I$2, 0 ), 0 )</f>
        <v>153.03600000000003</v>
      </c>
      <c r="L90" s="259">
        <f xml:space="preserve"> VLOOKUP( $C90, 'CALCS│Residential Retail'!$C$269:$I$285, MATCH( Year, 'CALCS│Residential Retail'!$C$2:$I$2, 0 ), 0 )</f>
        <v>133.33588637938149</v>
      </c>
      <c r="M90" s="112" t="str">
        <f xml:space="preserve"> IF( ABS( E90 ) &lt;= 0.01, 'Map &amp; Key'!$G$71, IF( E90 &gt; 0, 'Map &amp; Key'!$G$70, 'Map &amp; Key'!$G$72 ) )</f>
        <v>▼</v>
      </c>
      <c r="N90" s="277">
        <f xml:space="preserve"> VLOOKUP( $C90, 'CALCS│Residential Retail'!$C$329:$I$345, MATCH( Year, 'CALCS│Residential Retail'!$C$2:$I$2, 0 ), 0 )</f>
        <v>0.14774802309834031</v>
      </c>
    </row>
    <row r="91" spans="3:14" s="79" customFormat="1" ht="16.149999999999999" customHeight="1" outlineLevel="1" x14ac:dyDescent="0.3">
      <c r="C91" s="178" t="s">
        <v>106</v>
      </c>
      <c r="D91" s="331">
        <f xml:space="preserve"> VLOOKUP( $C91, 'CALCS│Residential Retail'!$C$329:$I$345, MATCH( Last_year, 'CALCS│Residential Retail'!$C$2:$I$2, 0 ), 0 )</f>
        <v>-9.5207776024237079E-2</v>
      </c>
      <c r="E91" s="110">
        <f t="shared" si="1"/>
        <v>0.55073060657642314</v>
      </c>
      <c r="F91" s="283"/>
      <c r="G91" s="283"/>
      <c r="H91" s="283"/>
      <c r="I91" s="321"/>
      <c r="J91" s="258" t="str">
        <f xml:space="preserve"> VLOOKUP( $C91, 'Map &amp; Key'!$C$78:$D$98, 2, 0 )</f>
        <v>Bristol Water</v>
      </c>
      <c r="K91" s="249">
        <f xml:space="preserve"> VLOOKUP( $C91, 'CALCS│Residential Retail'!$C$289:$I$305, MATCH( Year, 'CALCS│Residential Retail'!$C$2:$I$2, 0 ), 0 )</f>
        <v>49.846289219999996</v>
      </c>
      <c r="L91" s="249">
        <f xml:space="preserve"> VLOOKUP( $C91, 'CALCS│Residential Retail'!$C$269:$I$285, MATCH( Year, 'CALCS│Residential Retail'!$C$2:$I$2, 0 ), 0 )</f>
        <v>52.073685926114592</v>
      </c>
      <c r="M91" s="111" t="str">
        <f xml:space="preserve"> IF( ABS( E91 ) &lt;= 0.01, 'Map &amp; Key'!$G$71, IF( E91 &gt; 0, 'Map &amp; Key'!$G$70, 'Map &amp; Key'!$G$72 ) )</f>
        <v>▼</v>
      </c>
      <c r="N91" s="277">
        <f xml:space="preserve"> VLOOKUP( $C91, 'CALCS│Residential Retail'!$C$329:$I$345, MATCH( Year, 'CALCS│Residential Retail'!$C$2:$I$2, 0 ), 0 )</f>
        <v>-4.2773939783616752E-2</v>
      </c>
    </row>
    <row r="92" spans="3:14" s="79" customFormat="1" ht="16.149999999999999" customHeight="1" outlineLevel="1" x14ac:dyDescent="0.3">
      <c r="C92" s="178" t="s">
        <v>108</v>
      </c>
      <c r="D92" s="331">
        <f xml:space="preserve"> VLOOKUP( $C92, 'CALCS│Residential Retail'!$C$329:$I$345, MATCH( Last_year, 'CALCS│Residential Retail'!$C$2:$I$2, 0 ), 0 )</f>
        <v>3.3776013434514883E-2</v>
      </c>
      <c r="E92" s="110">
        <f t="shared" si="1"/>
        <v>-3.538633776767186E-2</v>
      </c>
      <c r="F92" s="283"/>
      <c r="G92" s="283"/>
      <c r="H92" s="283"/>
      <c r="I92" s="321"/>
      <c r="J92" s="258" t="str">
        <f xml:space="preserve"> VLOOKUP( $C92, 'Map &amp; Key'!$C$78:$D$98, 2, 0 )</f>
        <v>Portsmouth Water</v>
      </c>
      <c r="K92" s="259">
        <f xml:space="preserve"> VLOOKUP( $C92, 'CALCS│Residential Retail'!$C$289:$I$305, MATCH( Year, 'CALCS│Residential Retail'!$C$2:$I$2, 0 ), 0 )</f>
        <v>22.992000000000001</v>
      </c>
      <c r="L92" s="259">
        <f xml:space="preserve"> VLOOKUP( $C92, 'CALCS│Residential Retail'!$C$269:$I$285, MATCH( Year, 'CALCS│Residential Retail'!$C$2:$I$2, 0 ), 0 )</f>
        <v>22.266538280207293</v>
      </c>
      <c r="M92" s="112" t="str">
        <f xml:space="preserve"> IF( ABS( E92 ) &lt;= 0.01, 'Map &amp; Key'!$G$71, IF( E92 &gt; 0, 'Map &amp; Key'!$G$70, 'Map &amp; Key'!$G$72 ) )</f>
        <v>▲</v>
      </c>
      <c r="N92" s="277">
        <f xml:space="preserve"> VLOOKUP( $C92, 'CALCS│Residential Retail'!$C$329:$I$345, MATCH( Year, 'CALCS│Residential Retail'!$C$2:$I$2, 0 ), 0 )</f>
        <v>3.2580804014675717E-2</v>
      </c>
    </row>
    <row r="93" spans="3:14" s="79" customFormat="1" ht="16.149999999999999" customHeight="1" outlineLevel="1" x14ac:dyDescent="0.3">
      <c r="C93" s="178" t="s">
        <v>112</v>
      </c>
      <c r="D93" s="331">
        <f xml:space="preserve"> VLOOKUP( $C93, 'CALCS│Residential Retail'!$C$329:$I$345, MATCH( Last_year, 'CALCS│Residential Retail'!$C$2:$I$2, 0 ), 0 )</f>
        <v>-0.19921386313978784</v>
      </c>
      <c r="E93" s="110">
        <f t="shared" si="1"/>
        <v>9.2126844034068692E-2</v>
      </c>
      <c r="F93" s="283"/>
      <c r="G93" s="283"/>
      <c r="H93" s="283"/>
      <c r="I93" s="321"/>
      <c r="J93" s="258" t="str">
        <f xml:space="preserve"> VLOOKUP( $C93, 'Map &amp; Key'!$C$78:$D$98, 2, 0 )</f>
        <v>South East Water</v>
      </c>
      <c r="K93" s="249">
        <f xml:space="preserve"> VLOOKUP( $C93, 'CALCS│Residential Retail'!$C$289:$I$305, MATCH( Year, 'CALCS│Residential Retail'!$C$2:$I$2, 0 ), 0 )</f>
        <v>82.872000000000014</v>
      </c>
      <c r="L93" s="249">
        <f xml:space="preserve"> VLOOKUP( $C93, 'CALCS│Residential Retail'!$C$269:$I$285, MATCH( Year, 'CALCS│Residential Retail'!$C$2:$I$2, 0 ), 0 )</f>
        <v>101.16963271059998</v>
      </c>
      <c r="M93" s="111" t="str">
        <f xml:space="preserve"> IF( ABS( E93 ) &lt;= 0.01, 'Map &amp; Key'!$G$71, IF( E93 &gt; 0, 'Map &amp; Key'!$G$70, 'Map &amp; Key'!$G$72 ) )</f>
        <v>▼</v>
      </c>
      <c r="N93" s="277">
        <f xml:space="preserve"> VLOOKUP( $C93, 'CALCS│Residential Retail'!$C$329:$I$345, MATCH( Year, 'CALCS│Residential Retail'!$C$2:$I$2, 0 ), 0 )</f>
        <v>-0.1808609186408843</v>
      </c>
    </row>
    <row r="94" spans="3:14" s="79" customFormat="1" ht="16.149999999999999" customHeight="1" outlineLevel="1" x14ac:dyDescent="0.3">
      <c r="C94" s="178" t="s">
        <v>114</v>
      </c>
      <c r="D94" s="331">
        <f xml:space="preserve"> VLOOKUP( $C94, 'CALCS│Residential Retail'!$C$329:$I$345, MATCH( Last_year, 'CALCS│Residential Retail'!$C$2:$I$2, 0 ), 0 )</f>
        <v>-0.16411554278048079</v>
      </c>
      <c r="E94" s="110">
        <f t="shared" si="1"/>
        <v>0.56445554028613731</v>
      </c>
      <c r="F94" s="283"/>
      <c r="G94" s="283"/>
      <c r="H94" s="283"/>
      <c r="I94" s="321"/>
      <c r="J94" s="258" t="str">
        <f xml:space="preserve"> VLOOKUP( $C94, 'Map &amp; Key'!$C$78:$D$98, 2, 0 )</f>
        <v>South Staffs Water</v>
      </c>
      <c r="K94" s="259">
        <f xml:space="preserve"> VLOOKUP( $C94, 'CALCS│Residential Retail'!$C$289:$I$305, MATCH( Year, 'CALCS│Residential Retail'!$C$2:$I$2, 0 ), 0 )</f>
        <v>72.327611569496582</v>
      </c>
      <c r="L94" s="259">
        <f xml:space="preserve"> VLOOKUP( $C94, 'CALCS│Residential Retail'!$C$269:$I$285, MATCH( Year, 'CALCS│Residential Retail'!$C$2:$I$2, 0 ), 0 )</f>
        <v>77.895555951105436</v>
      </c>
      <c r="M94" s="112" t="str">
        <f xml:space="preserve"> IF( ABS( E94 ) &lt;= 0.01, 'Map &amp; Key'!$G$71, IF( E94 &gt; 0, 'Map &amp; Key'!$G$70, 'Map &amp; Key'!$G$72 ) )</f>
        <v>▼</v>
      </c>
      <c r="N94" s="277">
        <f xml:space="preserve"> VLOOKUP( $C94, 'CALCS│Residential Retail'!$C$329:$I$345, MATCH( Year, 'CALCS│Residential Retail'!$C$2:$I$2, 0 ), 0 )</f>
        <v>-7.1479615410971822E-2</v>
      </c>
    </row>
    <row r="95" spans="3:14" s="79" customFormat="1" ht="16.149999999999999" customHeight="1" outlineLevel="1" x14ac:dyDescent="0.3">
      <c r="C95" s="178" t="s">
        <v>110</v>
      </c>
      <c r="D95" s="331">
        <f xml:space="preserve"> VLOOKUP( $C95, 'CALCS│Residential Retail'!$C$329:$I$345, MATCH( Last_year, 'CALCS│Residential Retail'!$C$2:$I$2, 0 ), 0 )</f>
        <v>0.27934179077793708</v>
      </c>
      <c r="E95" s="110">
        <f t="shared" si="1"/>
        <v>0.15982190697994103</v>
      </c>
      <c r="F95" s="283"/>
      <c r="G95" s="283"/>
      <c r="H95" s="283"/>
      <c r="I95" s="321"/>
      <c r="J95" s="258" t="str">
        <f xml:space="preserve"> VLOOKUP( $C95, 'Map &amp; Key'!$C$78:$D$98, 2, 0 )</f>
        <v>SES Water</v>
      </c>
      <c r="K95" s="249">
        <f xml:space="preserve"> VLOOKUP( $C95, 'CALCS│Residential Retail'!$C$289:$I$305, MATCH( Year, 'CALCS│Residential Retail'!$C$2:$I$2, 0 ), 0 )</f>
        <v>36.056000000000004</v>
      </c>
      <c r="L95" s="249">
        <f xml:space="preserve"> VLOOKUP( $C95, 'CALCS│Residential Retail'!$C$269:$I$285, MATCH( Year, 'CALCS│Residential Retail'!$C$2:$I$2, 0 ), 0 )</f>
        <v>27.232901376144611</v>
      </c>
      <c r="M95" s="111" t="str">
        <f xml:space="preserve"> IF( ABS( E95 ) &lt;= 0.01, 'Map &amp; Key'!$G$71, IF( E95 &gt; 0, 'Map &amp; Key'!$G$70, 'Map &amp; Key'!$G$72 ) )</f>
        <v>▼</v>
      </c>
      <c r="N95" s="277">
        <f xml:space="preserve"> VLOOKUP( $C95, 'CALCS│Residential Retail'!$C$329:$I$345, MATCH( Year, 'CALCS│Residential Retail'!$C$2:$I$2, 0 ), 0 )</f>
        <v>0.32398672847925869</v>
      </c>
    </row>
    <row r="96" spans="3:14" outlineLevel="1" x14ac:dyDescent="0.25"/>
    <row r="97" spans="2:15" outlineLevel="1" x14ac:dyDescent="0.25">
      <c r="M97" s="47" t="s">
        <v>595</v>
      </c>
      <c r="N97" s="110">
        <f>_xlfn.PERCENTILE.INC( $N$79:$N$95, 0.25 )</f>
        <v>-4.2773939783616752E-2</v>
      </c>
    </row>
    <row r="98" spans="2:15" outlineLevel="1" x14ac:dyDescent="0.25">
      <c r="M98" s="47" t="s">
        <v>596</v>
      </c>
      <c r="N98" s="110">
        <f>_xlfn.PERCENTILE.INC( $N$79:$N$95, 0.75 )</f>
        <v>0.14066479900373052</v>
      </c>
    </row>
    <row r="100" spans="2:15" ht="13" x14ac:dyDescent="0.3">
      <c r="B100" s="17" t="s">
        <v>25</v>
      </c>
      <c r="C100" s="17"/>
      <c r="D100" s="17"/>
      <c r="E100" s="17"/>
      <c r="F100" s="17"/>
      <c r="G100" s="17"/>
      <c r="H100" s="17"/>
      <c r="I100" s="17"/>
      <c r="J100" s="17"/>
      <c r="K100" s="17"/>
      <c r="L100" s="17"/>
      <c r="M100" s="17"/>
      <c r="N100" s="17"/>
      <c r="O100" s="17"/>
    </row>
  </sheetData>
  <mergeCells count="2">
    <mergeCell ref="M6:N6"/>
    <mergeCell ref="M78:N78"/>
  </mergeCells>
  <conditionalFormatting sqref="M7:M23">
    <cfRule type="expression" dxfId="57" priority="7">
      <formula>AND($N7&gt;$N$25,$N7&lt;$N$26)</formula>
    </cfRule>
    <cfRule type="expression" dxfId="56" priority="8">
      <formula>$N7&gt;=$N$26</formula>
    </cfRule>
    <cfRule type="expression" dxfId="55" priority="9">
      <formula>$N7&lt;=$N$25</formula>
    </cfRule>
  </conditionalFormatting>
  <conditionalFormatting sqref="M79:M95">
    <cfRule type="expression" dxfId="54" priority="1">
      <formula>AND($N79&gt;$N$97,$N79&lt;$N$98)</formula>
    </cfRule>
    <cfRule type="expression" dxfId="53" priority="2">
      <formula>$N79&gt;=$N$98</formula>
    </cfRule>
    <cfRule type="expression" dxfId="52" priority="3">
      <formula>$N79&lt;=$N$97</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tint="0.79998168889431442"/>
    <outlinePr summaryBelow="0"/>
  </sheetPr>
  <dimension ref="B2:R215"/>
  <sheetViews>
    <sheetView showGridLines="0" workbookViewId="0"/>
  </sheetViews>
  <sheetFormatPr defaultColWidth="9" defaultRowHeight="12.5" outlineLevelRow="1" x14ac:dyDescent="0.25"/>
  <cols>
    <col min="1" max="2" width="2.58203125" style="8" customWidth="1"/>
    <col min="3" max="10" width="9" style="8"/>
    <col min="11" max="11" width="16.75" style="8" customWidth="1"/>
    <col min="12" max="15" width="11.25" style="8" customWidth="1"/>
    <col min="16" max="16" width="2.58203125" style="8" customWidth="1"/>
    <col min="17" max="16384" width="9" style="8"/>
  </cols>
  <sheetData>
    <row r="2" spans="2:16" ht="13.5" x14ac:dyDescent="0.35">
      <c r="B2" s="9" t="s">
        <v>683</v>
      </c>
      <c r="C2" s="9"/>
      <c r="D2" s="9"/>
      <c r="E2" s="10"/>
      <c r="F2" s="9"/>
      <c r="G2" s="9"/>
      <c r="H2" s="9"/>
      <c r="I2" s="9"/>
      <c r="J2" s="9"/>
      <c r="K2" s="9" t="s">
        <v>613</v>
      </c>
      <c r="L2" s="9"/>
      <c r="M2" s="9"/>
      <c r="N2" s="9"/>
      <c r="O2" s="9"/>
      <c r="P2" s="9"/>
    </row>
    <row r="3" spans="2:16" outlineLevel="1" x14ac:dyDescent="0.25"/>
    <row r="4" spans="2:16" ht="14.25" customHeight="1" outlineLevel="1" x14ac:dyDescent="0.35">
      <c r="L4" s="320" t="s">
        <v>614</v>
      </c>
    </row>
    <row r="5" spans="2:16" ht="40.5" outlineLevel="1" x14ac:dyDescent="0.25">
      <c r="C5" s="260" t="s">
        <v>223</v>
      </c>
      <c r="K5" s="246"/>
      <c r="L5" s="272" t="str">
        <f xml:space="preserve"> Year &amp; " Shadow year C-MeX scores"</f>
        <v>2019-20 Shadow year C-MeX scores</v>
      </c>
    </row>
    <row r="6" spans="2:16" ht="16.149999999999999" customHeight="1" outlineLevel="1" x14ac:dyDescent="0.25">
      <c r="C6" s="175" t="s">
        <v>80</v>
      </c>
      <c r="K6" s="258" t="str">
        <f>VLOOKUP( C6, 'Map &amp; Key'!$C$78:$D$98, 2, 0 )</f>
        <v>Anglian Water</v>
      </c>
      <c r="L6" s="170">
        <f xml:space="preserve"> 'INPUTS│Performance Commitments'!L263</f>
        <v>79.010000000000005</v>
      </c>
    </row>
    <row r="7" spans="2:16" ht="16.149999999999999" customHeight="1" outlineLevel="1" x14ac:dyDescent="0.25">
      <c r="C7" s="174" t="s">
        <v>82</v>
      </c>
      <c r="K7" s="258" t="str">
        <f>VLOOKUP( C7, 'Map &amp; Key'!$C$78:$D$98, 2, 0 )</f>
        <v>Dŵr Cymru</v>
      </c>
      <c r="L7" s="170">
        <f xml:space="preserve"> 'INPUTS│Performance Commitments'!L264</f>
        <v>82.47</v>
      </c>
    </row>
    <row r="8" spans="2:16" ht="16.149999999999999" customHeight="1" outlineLevel="1" x14ac:dyDescent="0.25">
      <c r="C8" s="174" t="s">
        <v>85</v>
      </c>
      <c r="K8" s="258" t="str">
        <f>VLOOKUP( C8, 'Map &amp; Key'!$C$78:$D$98, 2, 0 )</f>
        <v>Hafren Dyfrdwy</v>
      </c>
      <c r="L8" s="170">
        <f xml:space="preserve"> 'INPUTS│Performance Commitments'!L265</f>
        <v>75.010000000000005</v>
      </c>
    </row>
    <row r="9" spans="2:16" ht="16.149999999999999" customHeight="1" outlineLevel="1" x14ac:dyDescent="0.25">
      <c r="C9" s="174" t="s">
        <v>87</v>
      </c>
      <c r="K9" s="258" t="str">
        <f>VLOOKUP( C9, 'Map &amp; Key'!$C$78:$D$98, 2, 0 )</f>
        <v>Northumbrian Water</v>
      </c>
      <c r="L9" s="170">
        <f xml:space="preserve"> 'INPUTS│Performance Commitments'!L266</f>
        <v>79.64</v>
      </c>
    </row>
    <row r="10" spans="2:16" ht="16.149999999999999" customHeight="1" outlineLevel="1" x14ac:dyDescent="0.25">
      <c r="C10" s="174" t="s">
        <v>89</v>
      </c>
      <c r="K10" s="258" t="str">
        <f>VLOOKUP( C10, 'Map &amp; Key'!$C$78:$D$98, 2, 0 )</f>
        <v>Severn Trent Water</v>
      </c>
      <c r="L10" s="170">
        <f xml:space="preserve"> 'INPUTS│Performance Commitments'!L267</f>
        <v>77.650000000000006</v>
      </c>
    </row>
    <row r="11" spans="2:16" ht="16.149999999999999" customHeight="1" outlineLevel="1" x14ac:dyDescent="0.25">
      <c r="C11" s="176" t="s">
        <v>118</v>
      </c>
      <c r="K11" s="258" t="str">
        <f>VLOOKUP( C11, 'Map &amp; Key'!$C$78:$D$98, 2, 0 )</f>
        <v>South West Water</v>
      </c>
      <c r="L11" s="170">
        <f xml:space="preserve"> 'INPUTS│Performance Commitments'!L268</f>
        <v>76.349999999999994</v>
      </c>
    </row>
    <row r="12" spans="2:16" ht="16.149999999999999" customHeight="1" outlineLevel="1" x14ac:dyDescent="0.25">
      <c r="C12" s="174" t="s">
        <v>94</v>
      </c>
      <c r="K12" s="258" t="str">
        <f>VLOOKUP( C12, 'Map &amp; Key'!$C$78:$D$98, 2, 0 )</f>
        <v>Southern Water</v>
      </c>
      <c r="L12" s="170">
        <f xml:space="preserve"> 'INPUTS│Performance Commitments'!L269</f>
        <v>68.849999999999994</v>
      </c>
    </row>
    <row r="13" spans="2:16" ht="16.149999999999999" customHeight="1" outlineLevel="1" x14ac:dyDescent="0.25">
      <c r="C13" s="174" t="s">
        <v>96</v>
      </c>
      <c r="K13" s="258" t="str">
        <f>VLOOKUP( C13, 'Map &amp; Key'!$C$78:$D$98, 2, 0 )</f>
        <v>Thames Water</v>
      </c>
      <c r="L13" s="170">
        <f xml:space="preserve"> 'INPUTS│Performance Commitments'!L270</f>
        <v>65.12</v>
      </c>
    </row>
    <row r="14" spans="2:16" ht="16.149999999999999" customHeight="1" outlineLevel="1" x14ac:dyDescent="0.25">
      <c r="C14" s="174" t="s">
        <v>98</v>
      </c>
      <c r="K14" s="258" t="str">
        <f>VLOOKUP( C14, 'Map &amp; Key'!$C$78:$D$98, 2, 0 )</f>
        <v>United Utilities</v>
      </c>
      <c r="L14" s="170">
        <f xml:space="preserve"> 'INPUTS│Performance Commitments'!L271</f>
        <v>79.760000000000005</v>
      </c>
    </row>
    <row r="15" spans="2:16" ht="16.149999999999999" customHeight="1" outlineLevel="1" x14ac:dyDescent="0.25">
      <c r="C15" s="174" t="s">
        <v>100</v>
      </c>
      <c r="K15" s="258" t="str">
        <f>VLOOKUP( C15, 'Map &amp; Key'!$C$78:$D$98, 2, 0 )</f>
        <v>Wessex Water</v>
      </c>
      <c r="L15" s="170">
        <f xml:space="preserve"> 'INPUTS│Performance Commitments'!L272</f>
        <v>81.05</v>
      </c>
    </row>
    <row r="16" spans="2:16" ht="16.149999999999999" customHeight="1" outlineLevel="1" x14ac:dyDescent="0.25">
      <c r="C16" s="174" t="s">
        <v>102</v>
      </c>
      <c r="K16" s="258" t="str">
        <f>VLOOKUP( C16, 'Map &amp; Key'!$C$78:$D$98, 2, 0 )</f>
        <v>Yorkshire Water</v>
      </c>
      <c r="L16" s="170">
        <f xml:space="preserve"> 'INPUTS│Performance Commitments'!L273</f>
        <v>79.2</v>
      </c>
    </row>
    <row r="17" spans="2:16" ht="16.149999999999999" customHeight="1" outlineLevel="1" x14ac:dyDescent="0.25">
      <c r="C17" s="174" t="s">
        <v>104</v>
      </c>
      <c r="K17" s="258" t="str">
        <f>VLOOKUP( C17, 'Map &amp; Key'!$C$78:$D$98, 2, 0 )</f>
        <v>Affinity Water</v>
      </c>
      <c r="L17" s="170">
        <f xml:space="preserve"> 'INPUTS│Performance Commitments'!L274</f>
        <v>72.7</v>
      </c>
    </row>
    <row r="18" spans="2:16" ht="16.149999999999999" customHeight="1" outlineLevel="1" x14ac:dyDescent="0.25">
      <c r="C18" s="174" t="s">
        <v>106</v>
      </c>
      <c r="K18" s="258" t="str">
        <f>VLOOKUP( C18, 'Map &amp; Key'!$C$78:$D$98, 2, 0 )</f>
        <v>Bristol Water</v>
      </c>
      <c r="L18" s="170">
        <f xml:space="preserve"> 'INPUTS│Performance Commitments'!L275</f>
        <v>78.13</v>
      </c>
    </row>
    <row r="19" spans="2:16" ht="16.149999999999999" customHeight="1" outlineLevel="1" x14ac:dyDescent="0.25">
      <c r="C19" s="174" t="s">
        <v>108</v>
      </c>
      <c r="K19" s="258" t="str">
        <f>VLOOKUP( C19, 'Map &amp; Key'!$C$78:$D$98, 2, 0 )</f>
        <v>Portsmouth Water</v>
      </c>
      <c r="L19" s="170">
        <f xml:space="preserve"> 'INPUTS│Performance Commitments'!L276</f>
        <v>82.09</v>
      </c>
    </row>
    <row r="20" spans="2:16" ht="16.149999999999999" customHeight="1" outlineLevel="1" x14ac:dyDescent="0.25">
      <c r="C20" s="174" t="s">
        <v>112</v>
      </c>
      <c r="K20" s="258" t="str">
        <f>VLOOKUP( C20, 'Map &amp; Key'!$C$78:$D$98, 2, 0 )</f>
        <v>South East Water</v>
      </c>
      <c r="L20" s="170">
        <f xml:space="preserve"> 'INPUTS│Performance Commitments'!L277</f>
        <v>73.36</v>
      </c>
    </row>
    <row r="21" spans="2:16" ht="16.149999999999999" customHeight="1" outlineLevel="1" x14ac:dyDescent="0.25">
      <c r="C21" s="174" t="s">
        <v>114</v>
      </c>
      <c r="K21" s="258" t="str">
        <f>VLOOKUP( C21, 'Map &amp; Key'!$C$78:$D$98, 2, 0 )</f>
        <v>South Staffs Water</v>
      </c>
      <c r="L21" s="170">
        <f xml:space="preserve"> 'INPUTS│Performance Commitments'!L278</f>
        <v>77.47</v>
      </c>
    </row>
    <row r="22" spans="2:16" ht="16.149999999999999" customHeight="1" outlineLevel="1" x14ac:dyDescent="0.25">
      <c r="C22" s="174" t="s">
        <v>110</v>
      </c>
      <c r="K22" s="258" t="str">
        <f>VLOOKUP( C22, 'Map &amp; Key'!$C$78:$D$98, 2, 0 )</f>
        <v>SES Water</v>
      </c>
      <c r="L22" s="170">
        <f xml:space="preserve"> 'INPUTS│Performance Commitments'!L279</f>
        <v>72.849999999999994</v>
      </c>
    </row>
    <row r="23" spans="2:16" outlineLevel="1" x14ac:dyDescent="0.25"/>
    <row r="24" spans="2:16" outlineLevel="1" x14ac:dyDescent="0.25">
      <c r="K24" s="8" t="s">
        <v>615</v>
      </c>
      <c r="L24" s="318">
        <f>_xlfn.PERCENTILE.INC(L6:L22, 0.75)</f>
        <v>79.64</v>
      </c>
    </row>
    <row r="25" spans="2:16" outlineLevel="1" x14ac:dyDescent="0.25">
      <c r="K25" s="8" t="s">
        <v>616</v>
      </c>
      <c r="L25" s="318">
        <f>_xlfn.PERCENTILE.INC(L6:L22, 0.25)</f>
        <v>73.36</v>
      </c>
    </row>
    <row r="27" spans="2:16" ht="13.5" x14ac:dyDescent="0.35">
      <c r="B27" s="9" t="s">
        <v>617</v>
      </c>
      <c r="C27" s="9"/>
      <c r="D27" s="9"/>
      <c r="E27" s="10"/>
      <c r="F27" s="9"/>
      <c r="G27" s="9"/>
      <c r="H27" s="9"/>
      <c r="I27" s="9"/>
      <c r="J27" s="9"/>
      <c r="K27" s="9" t="s">
        <v>783</v>
      </c>
      <c r="L27" s="9"/>
      <c r="M27" s="9"/>
      <c r="N27" s="9"/>
      <c r="O27" s="9"/>
      <c r="P27" s="9"/>
    </row>
    <row r="28" spans="2:16" outlineLevel="1" x14ac:dyDescent="0.25"/>
    <row r="29" spans="2:16" ht="13.5" outlineLevel="1" x14ac:dyDescent="0.35">
      <c r="L29" s="420" t="s">
        <v>614</v>
      </c>
      <c r="M29" s="420"/>
    </row>
    <row r="30" spans="2:16" ht="40.5" outlineLevel="1" x14ac:dyDescent="0.25">
      <c r="C30" s="288" t="s">
        <v>223</v>
      </c>
      <c r="D30" s="322" t="str">
        <f xml:space="preserve"> "PCs met " &amp; Last_year</f>
        <v>PCs met 2018-19</v>
      </c>
      <c r="E30" s="322" t="str">
        <f xml:space="preserve"> "Change to " &amp; Year</f>
        <v>Change to 2019-20</v>
      </c>
      <c r="K30" s="246"/>
      <c r="L30" s="272" t="str">
        <f xml:space="preserve"> "In " &amp; Year &amp; " compared to " &amp; Last_year</f>
        <v>In 2019-20 compared to 2018-19</v>
      </c>
      <c r="M30" s="272" t="str">
        <f xml:space="preserve"> Year &amp; " (% achieved)"</f>
        <v>2019-20 (% achieved)</v>
      </c>
    </row>
    <row r="31" spans="2:16" s="79" customFormat="1" ht="16.149999999999999" customHeight="1" outlineLevel="1" x14ac:dyDescent="0.3">
      <c r="B31" s="283"/>
      <c r="C31" s="175" t="s">
        <v>80</v>
      </c>
      <c r="D31" s="169">
        <f xml:space="preserve"> VLOOKUP($C31, CALCS│Outcomes!$C$351:$L$367, MATCH( Last_year, CALCS│Outcomes!$C$2:$L$2, 0 ), 0 )</f>
        <v>0.9285714285714286</v>
      </c>
      <c r="E31" s="127">
        <f xml:space="preserve"> IFERROR( ( M31 - D31 ) / ABS( D31 ), "-" )</f>
        <v>-0.28469635627530365</v>
      </c>
      <c r="F31" s="283"/>
      <c r="G31" s="283"/>
      <c r="H31" s="283"/>
      <c r="I31" s="283"/>
      <c r="J31" s="283"/>
      <c r="K31" s="258" t="str">
        <f>VLOOKUP( C31, 'Map &amp; Key'!$C$78:$D$98, 2, 0 )</f>
        <v>Anglian Water</v>
      </c>
      <c r="L31" s="247" t="str">
        <f xml:space="preserve"> IFERROR( IF( ABS( E31 ) &lt;= 0.01, 'Map &amp; Key'!$G$71, IF( E31 &lt; 0, 'Map &amp; Key'!$G$70, 'Map &amp; Key'!$G$72 ) ), "-" )</f>
        <v>▼</v>
      </c>
      <c r="M31" s="120">
        <f xml:space="preserve"> VLOOKUP($C31, CALCS│Outcomes!$C$351:$L$367, MATCH( Year, CALCS│Outcomes!$C$2:$L$2, 0 ), 0 )</f>
        <v>0.66421052631578947</v>
      </c>
      <c r="N31" s="283"/>
      <c r="O31" s="283"/>
      <c r="P31" s="283"/>
    </row>
    <row r="32" spans="2:16" s="79" customFormat="1" ht="16.149999999999999" customHeight="1" outlineLevel="1" x14ac:dyDescent="0.3">
      <c r="B32" s="283"/>
      <c r="C32" s="174" t="s">
        <v>82</v>
      </c>
      <c r="D32" s="169">
        <f xml:space="preserve"> VLOOKUP($C32, CALCS│Outcomes!$C$351:$L$367, MATCH( Last_year, CALCS│Outcomes!$C$2:$L$2, 0 ), 0 )</f>
        <v>0.62962962962962965</v>
      </c>
      <c r="E32" s="127">
        <f t="shared" ref="E32:E47" si="0" xml:space="preserve"> IFERROR( ( M32 - D32 ) / ABS( D32 ), "-" )</f>
        <v>5.8823529411764615E-2</v>
      </c>
      <c r="F32" s="283"/>
      <c r="G32" s="283"/>
      <c r="H32" s="283"/>
      <c r="I32" s="283"/>
      <c r="J32" s="283"/>
      <c r="K32" s="258" t="str">
        <f>VLOOKUP( C32, 'Map &amp; Key'!$C$78:$D$98, 2, 0 )</f>
        <v>Dŵr Cymru</v>
      </c>
      <c r="L32" s="261" t="str">
        <f xml:space="preserve"> IFERROR( IF( ABS( E32 ) &lt;= 0.01, 'Map &amp; Key'!$G$71, IF( E32 &lt; 0, 'Map &amp; Key'!$G$70, 'Map &amp; Key'!$G$72 ) ), "-" )</f>
        <v>▲</v>
      </c>
      <c r="M32" s="120">
        <f xml:space="preserve"> VLOOKUP($C32, CALCS│Outcomes!$C$351:$L$367, MATCH( Year, CALCS│Outcomes!$C$2:$L$2, 0 ), 0 )</f>
        <v>0.66666666666666663</v>
      </c>
      <c r="N32" s="283"/>
      <c r="O32" s="283"/>
      <c r="P32" s="283"/>
    </row>
    <row r="33" spans="2:16" s="79" customFormat="1" ht="16.149999999999999" customHeight="1" outlineLevel="1" x14ac:dyDescent="0.3">
      <c r="B33" s="283"/>
      <c r="C33" s="174" t="s">
        <v>85</v>
      </c>
      <c r="D33" s="169">
        <f xml:space="preserve"> VLOOKUP($C33, CALCS│Outcomes!$C$351:$L$367, MATCH( Last_year, CALCS│Outcomes!$C$2:$L$2, 0 ), 0 )</f>
        <v>0.51282051282051277</v>
      </c>
      <c r="E33" s="127">
        <f t="shared" si="0"/>
        <v>0</v>
      </c>
      <c r="F33" s="283"/>
      <c r="G33" s="283"/>
      <c r="H33" s="283"/>
      <c r="I33" s="283"/>
      <c r="J33" s="283"/>
      <c r="K33" s="258" t="str">
        <f>VLOOKUP( C33, 'Map &amp; Key'!$C$78:$D$98, 2, 0 )</f>
        <v>Hafren Dyfrdwy</v>
      </c>
      <c r="L33" s="247" t="str">
        <f xml:space="preserve"> IFERROR( IF( ABS( E33 ) &lt;= 0.01, 'Map &amp; Key'!$G$71, IF( E33 &lt; 0, 'Map &amp; Key'!$G$70, 'Map &amp; Key'!$G$72 ) ), "-" )</f>
        <v>◄►</v>
      </c>
      <c r="M33" s="120">
        <f xml:space="preserve"> VLOOKUP($C33, CALCS│Outcomes!$C$351:$L$367, MATCH( Year, CALCS│Outcomes!$C$2:$L$2, 0 ), 0 )</f>
        <v>0.51282051282051277</v>
      </c>
      <c r="N33" s="283"/>
      <c r="O33" s="283"/>
      <c r="P33" s="283"/>
    </row>
    <row r="34" spans="2:16" s="79" customFormat="1" ht="16.149999999999999" customHeight="1" outlineLevel="1" x14ac:dyDescent="0.3">
      <c r="B34" s="283"/>
      <c r="C34" s="174" t="s">
        <v>87</v>
      </c>
      <c r="D34" s="169">
        <f xml:space="preserve"> VLOOKUP($C34, CALCS│Outcomes!$C$351:$L$367, MATCH( Last_year, CALCS│Outcomes!$C$2:$L$2, 0 ), 0 )</f>
        <v>0.58536585365853655</v>
      </c>
      <c r="E34" s="127">
        <f t="shared" si="0"/>
        <v>0.19583333333333333</v>
      </c>
      <c r="F34" s="283"/>
      <c r="G34" s="283"/>
      <c r="H34" s="283"/>
      <c r="I34" s="283"/>
      <c r="J34" s="283"/>
      <c r="K34" s="258" t="str">
        <f>VLOOKUP( C34, 'Map &amp; Key'!$C$78:$D$98, 2, 0 )</f>
        <v>Northumbrian Water</v>
      </c>
      <c r="L34" s="261" t="str">
        <f xml:space="preserve"> IFERROR( IF( ABS( E34 ) &lt;= 0.01, 'Map &amp; Key'!$G$71, IF( E34 &lt; 0, 'Map &amp; Key'!$G$70, 'Map &amp; Key'!$G$72 ) ), "-" )</f>
        <v>▲</v>
      </c>
      <c r="M34" s="121">
        <f xml:space="preserve"> VLOOKUP($C34, CALCS│Outcomes!$C$351:$L$367, MATCH( Year, CALCS│Outcomes!$C$2:$L$2, 0 ), 0 )</f>
        <v>0.7</v>
      </c>
      <c r="N34" s="283"/>
      <c r="O34" s="283"/>
      <c r="P34" s="283"/>
    </row>
    <row r="35" spans="2:16" s="79" customFormat="1" ht="16.149999999999999" customHeight="1" outlineLevel="1" x14ac:dyDescent="0.3">
      <c r="B35" s="283"/>
      <c r="C35" s="174" t="s">
        <v>89</v>
      </c>
      <c r="D35" s="169">
        <f xml:space="preserve"> VLOOKUP($C35, CALCS│Outcomes!$C$351:$L$367, MATCH( Last_year, CALCS│Outcomes!$C$2:$L$2, 0 ), 0 )</f>
        <v>0.62222222222222223</v>
      </c>
      <c r="E35" s="127">
        <f t="shared" si="0"/>
        <v>-3.5714285714285943E-3</v>
      </c>
      <c r="F35" s="283"/>
      <c r="G35" s="283"/>
      <c r="H35" s="283"/>
      <c r="I35" s="283"/>
      <c r="J35" s="283"/>
      <c r="K35" s="258" t="str">
        <f>VLOOKUP( C35, 'Map &amp; Key'!$C$78:$D$98, 2, 0 )</f>
        <v>Severn Trent Water</v>
      </c>
      <c r="L35" s="247" t="str">
        <f xml:space="preserve"> IFERROR( IF( ABS( E35 ) &lt;= 0.01, 'Map &amp; Key'!$G$71, IF( E35 &lt; 0, 'Map &amp; Key'!$G$70, 'Map &amp; Key'!$G$72 ) ), "-" )</f>
        <v>◄►</v>
      </c>
      <c r="M35" s="120">
        <f xml:space="preserve"> VLOOKUP($C35, CALCS│Outcomes!$C$351:$L$367, MATCH( Year, CALCS│Outcomes!$C$2:$L$2, 0 ), 0 )</f>
        <v>0.62</v>
      </c>
      <c r="N35" s="283"/>
      <c r="O35" s="283"/>
      <c r="P35" s="283"/>
    </row>
    <row r="36" spans="2:16" s="79" customFormat="1" ht="16.149999999999999" customHeight="1" outlineLevel="1" x14ac:dyDescent="0.3">
      <c r="B36" s="283"/>
      <c r="C36" s="176" t="s">
        <v>91</v>
      </c>
      <c r="D36" s="169">
        <f xml:space="preserve"> VLOOKUP($C36, CALCS│Outcomes!$C$351:$L$367, MATCH( Last_year, CALCS│Outcomes!$C$2:$L$2, 0 ), 0 )</f>
        <v>0.7142857142857143</v>
      </c>
      <c r="E36" s="127">
        <f t="shared" si="0"/>
        <v>-1.4814814814814814E-2</v>
      </c>
      <c r="F36" s="283"/>
      <c r="G36" s="283"/>
      <c r="H36" s="283"/>
      <c r="I36" s="283"/>
      <c r="J36" s="283"/>
      <c r="K36" s="258" t="str">
        <f>VLOOKUP( C36, 'Map &amp; Key'!$C$78:$D$98, 2, 0 )</f>
        <v>South West Water</v>
      </c>
      <c r="L36" s="261" t="str">
        <f xml:space="preserve"> IFERROR( IF( ABS( E36 ) &lt;= 0.01, 'Map &amp; Key'!$G$71, IF( E36 &lt; 0, 'Map &amp; Key'!$G$70, 'Map &amp; Key'!$G$72 ) ), "-" )</f>
        <v>▼</v>
      </c>
      <c r="M36" s="120">
        <f xml:space="preserve"> VLOOKUP($C36, CALCS│Outcomes!$C$351:$L$367, MATCH( Year, CALCS│Outcomes!$C$2:$L$2, 0 ), 0 )</f>
        <v>0.70370370370370372</v>
      </c>
      <c r="N36" s="283"/>
      <c r="O36" s="283"/>
      <c r="P36" s="283"/>
    </row>
    <row r="37" spans="2:16" s="79" customFormat="1" ht="16.149999999999999" customHeight="1" outlineLevel="1" x14ac:dyDescent="0.3">
      <c r="B37" s="283"/>
      <c r="C37" s="174" t="s">
        <v>94</v>
      </c>
      <c r="D37" s="169">
        <f xml:space="preserve"> VLOOKUP($C37, CALCS│Outcomes!$C$351:$L$367, MATCH( Last_year, CALCS│Outcomes!$C$2:$L$2, 0 ), 0 )</f>
        <v>0.64</v>
      </c>
      <c r="E37" s="127">
        <f t="shared" si="0"/>
        <v>-0.47916666666666669</v>
      </c>
      <c r="F37" s="283"/>
      <c r="G37" s="283"/>
      <c r="H37" s="283"/>
      <c r="I37" s="283"/>
      <c r="J37" s="283"/>
      <c r="K37" s="258" t="str">
        <f>VLOOKUP( C37, 'Map &amp; Key'!$C$78:$D$98, 2, 0 )</f>
        <v>Southern Water</v>
      </c>
      <c r="L37" s="247" t="str">
        <f xml:space="preserve"> IFERROR( IF( ABS( E37 ) &lt;= 0.01, 'Map &amp; Key'!$G$71, IF( E37 &lt; 0, 'Map &amp; Key'!$G$70, 'Map &amp; Key'!$G$72 ) ), "-" )</f>
        <v>▼</v>
      </c>
      <c r="M37" s="120">
        <f xml:space="preserve"> VLOOKUP($C37, CALCS│Outcomes!$C$351:$L$367, MATCH( Year, CALCS│Outcomes!$C$2:$L$2, 0 ), 0 )</f>
        <v>0.33333333333333331</v>
      </c>
      <c r="N37" s="283"/>
      <c r="O37" s="283"/>
      <c r="P37" s="283"/>
    </row>
    <row r="38" spans="2:16" s="79" customFormat="1" ht="16.149999999999999" customHeight="1" outlineLevel="1" x14ac:dyDescent="0.3">
      <c r="B38" s="283"/>
      <c r="C38" s="174" t="s">
        <v>96</v>
      </c>
      <c r="D38" s="169">
        <f xml:space="preserve"> VLOOKUP($C38, CALCS│Outcomes!$C$351:$L$367, MATCH( Last_year, CALCS│Outcomes!$C$2:$L$2, 0 ), 0 )</f>
        <v>0.55000000000000004</v>
      </c>
      <c r="E38" s="127">
        <f t="shared" si="0"/>
        <v>5.454545454545439E-2</v>
      </c>
      <c r="F38" s="283"/>
      <c r="G38" s="283"/>
      <c r="H38" s="283"/>
      <c r="I38" s="283"/>
      <c r="J38" s="283"/>
      <c r="K38" s="258" t="str">
        <f>VLOOKUP( C38, 'Map &amp; Key'!$C$78:$D$98, 2, 0 )</f>
        <v>Thames Water</v>
      </c>
      <c r="L38" s="261" t="str">
        <f xml:space="preserve"> IFERROR( IF( ABS( E38 ) &lt;= 0.01, 'Map &amp; Key'!$G$71, IF( E38 &lt; 0, 'Map &amp; Key'!$G$70, 'Map &amp; Key'!$G$72 ) ), "-" )</f>
        <v>▲</v>
      </c>
      <c r="M38" s="120">
        <f xml:space="preserve"> VLOOKUP($C38, CALCS│Outcomes!$C$351:$L$367, MATCH( Year, CALCS│Outcomes!$C$2:$L$2, 0 ), 0 )</f>
        <v>0.57999999999999996</v>
      </c>
      <c r="N38" s="283"/>
      <c r="O38" s="283"/>
      <c r="P38" s="283"/>
    </row>
    <row r="39" spans="2:16" s="79" customFormat="1" ht="16.149999999999999" customHeight="1" outlineLevel="1" x14ac:dyDescent="0.3">
      <c r="B39" s="283"/>
      <c r="C39" s="174" t="s">
        <v>98</v>
      </c>
      <c r="D39" s="169">
        <f xml:space="preserve"> VLOOKUP($C39, CALCS│Outcomes!$C$351:$L$367, MATCH( Last_year, CALCS│Outcomes!$C$2:$L$2, 0 ), 0 )</f>
        <v>0.7407407407407407</v>
      </c>
      <c r="E39" s="127">
        <f t="shared" si="0"/>
        <v>-0.2</v>
      </c>
      <c r="F39" s="283"/>
      <c r="G39" s="283"/>
      <c r="H39" s="283"/>
      <c r="I39" s="283"/>
      <c r="J39" s="283"/>
      <c r="K39" s="258" t="str">
        <f>VLOOKUP( C39, 'Map &amp; Key'!$C$78:$D$98, 2, 0 )</f>
        <v>United Utilities</v>
      </c>
      <c r="L39" s="247" t="str">
        <f xml:space="preserve"> IFERROR( IF( ABS( E39 ) &lt;= 0.01, 'Map &amp; Key'!$G$71, IF( E39 &lt; 0, 'Map &amp; Key'!$G$70, 'Map &amp; Key'!$G$72 ) ), "-" )</f>
        <v>▼</v>
      </c>
      <c r="M39" s="120">
        <f xml:space="preserve"> VLOOKUP($C39, CALCS│Outcomes!$C$351:$L$367, MATCH( Year, CALCS│Outcomes!$C$2:$L$2, 0 ), 0 )</f>
        <v>0.59259259259259256</v>
      </c>
      <c r="N39" s="283"/>
      <c r="O39" s="283"/>
      <c r="P39" s="283"/>
    </row>
    <row r="40" spans="2:16" s="79" customFormat="1" ht="16.149999999999999" customHeight="1" outlineLevel="1" x14ac:dyDescent="0.3">
      <c r="B40" s="283"/>
      <c r="C40" s="174" t="s">
        <v>100</v>
      </c>
      <c r="D40" s="169">
        <f xml:space="preserve"> VLOOKUP($C40, CALCS│Outcomes!$C$351:$L$367, MATCH( Last_year, CALCS│Outcomes!$C$2:$L$2, 0 ), 0 )</f>
        <v>0.77419354838709675</v>
      </c>
      <c r="E40" s="127">
        <f t="shared" si="0"/>
        <v>9.1145833333333617E-3</v>
      </c>
      <c r="F40" s="283"/>
      <c r="G40" s="283"/>
      <c r="H40" s="283"/>
      <c r="I40" s="283"/>
      <c r="J40" s="283"/>
      <c r="K40" s="258" t="str">
        <f>VLOOKUP( C40, 'Map &amp; Key'!$C$78:$D$98, 2, 0 )</f>
        <v>Wessex Water</v>
      </c>
      <c r="L40" s="261" t="str">
        <f xml:space="preserve"> IFERROR( IF( ABS( E40 ) &lt;= 0.01, 'Map &amp; Key'!$G$71, IF( E40 &lt; 0, 'Map &amp; Key'!$G$70, 'Map &amp; Key'!$G$72 ) ), "-" )</f>
        <v>◄►</v>
      </c>
      <c r="M40" s="120">
        <f xml:space="preserve"> VLOOKUP($C40, CALCS│Outcomes!$C$351:$L$367, MATCH( Year, CALCS│Outcomes!$C$2:$L$2, 0 ), 0 )</f>
        <v>0.78125</v>
      </c>
      <c r="N40" s="283"/>
      <c r="O40" s="283"/>
      <c r="P40" s="283"/>
    </row>
    <row r="41" spans="2:16" s="79" customFormat="1" ht="16.149999999999999" customHeight="1" outlineLevel="1" x14ac:dyDescent="0.3">
      <c r="B41" s="283"/>
      <c r="C41" s="174" t="s">
        <v>102</v>
      </c>
      <c r="D41" s="169">
        <f xml:space="preserve"> VLOOKUP($C41, CALCS│Outcomes!$C$351:$L$367, MATCH( Last_year, CALCS│Outcomes!$C$2:$L$2, 0 ), 0 )</f>
        <v>0.76666666666666672</v>
      </c>
      <c r="E41" s="127">
        <f t="shared" si="0"/>
        <v>0.15089514066496151</v>
      </c>
      <c r="F41" s="283"/>
      <c r="G41" s="283"/>
      <c r="H41" s="283"/>
      <c r="I41" s="283"/>
      <c r="J41" s="283"/>
      <c r="K41" s="258" t="str">
        <f>VLOOKUP( C41, 'Map &amp; Key'!$C$78:$D$98, 2, 0 )</f>
        <v>Yorkshire Water</v>
      </c>
      <c r="L41" s="247" t="str">
        <f xml:space="preserve"> IFERROR( IF( ABS( E41 ) &lt;= 0.01, 'Map &amp; Key'!$G$71, IF( E41 &lt; 0, 'Map &amp; Key'!$G$70, 'Map &amp; Key'!$G$72 ) ), "-" )</f>
        <v>▲</v>
      </c>
      <c r="M41" s="120">
        <f xml:space="preserve"> VLOOKUP($C41, CALCS│Outcomes!$C$351:$L$367, MATCH( Year, CALCS│Outcomes!$C$2:$L$2, 0 ), 0 )</f>
        <v>0.88235294117647056</v>
      </c>
      <c r="N41" s="283"/>
      <c r="O41" s="283"/>
      <c r="P41" s="283"/>
    </row>
    <row r="42" spans="2:16" s="79" customFormat="1" ht="16.149999999999999" customHeight="1" outlineLevel="1" x14ac:dyDescent="0.3">
      <c r="B42" s="283"/>
      <c r="C42" s="174" t="s">
        <v>104</v>
      </c>
      <c r="D42" s="169">
        <f xml:space="preserve"> VLOOKUP($C42, CALCS│Outcomes!$C$351:$L$367, MATCH( Last_year, CALCS│Outcomes!$C$2:$L$2, 0 ), 0 )</f>
        <v>0.9</v>
      </c>
      <c r="E42" s="127">
        <f t="shared" si="0"/>
        <v>-0.22222222222222229</v>
      </c>
      <c r="F42" s="283"/>
      <c r="G42" s="283"/>
      <c r="H42" s="283"/>
      <c r="I42" s="283"/>
      <c r="J42" s="283"/>
      <c r="K42" s="258" t="str">
        <f>VLOOKUP( C42, 'Map &amp; Key'!$C$78:$D$98, 2, 0 )</f>
        <v>Affinity Water</v>
      </c>
      <c r="L42" s="261" t="str">
        <f xml:space="preserve"> IFERROR( IF( ABS( E42 ) &lt;= 0.01, 'Map &amp; Key'!$G$71, IF( E42 &lt; 0, 'Map &amp; Key'!$G$70, 'Map &amp; Key'!$G$72 ) ), "-" )</f>
        <v>▼</v>
      </c>
      <c r="M42" s="120">
        <f xml:space="preserve"> VLOOKUP($C42, CALCS│Outcomes!$C$351:$L$367, MATCH( Year, CALCS│Outcomes!$C$2:$L$2, 0 ), 0 )</f>
        <v>0.7</v>
      </c>
      <c r="N42" s="283"/>
      <c r="O42" s="283"/>
      <c r="P42" s="283"/>
    </row>
    <row r="43" spans="2:16" s="79" customFormat="1" ht="16.149999999999999" customHeight="1" outlineLevel="1" x14ac:dyDescent="0.3">
      <c r="B43" s="283"/>
      <c r="C43" s="174" t="s">
        <v>106</v>
      </c>
      <c r="D43" s="169">
        <f xml:space="preserve"> VLOOKUP($C43, CALCS│Outcomes!$C$351:$L$367, MATCH( Last_year, CALCS│Outcomes!$C$2:$L$2, 0 ), 0 )</f>
        <v>0.42857142857142855</v>
      </c>
      <c r="E43" s="127">
        <f t="shared" si="0"/>
        <v>0.55555555555555558</v>
      </c>
      <c r="F43" s="283"/>
      <c r="G43" s="283"/>
      <c r="H43" s="283"/>
      <c r="I43" s="283"/>
      <c r="J43" s="283"/>
      <c r="K43" s="258" t="str">
        <f>VLOOKUP( C43, 'Map &amp; Key'!$C$78:$D$98, 2, 0 )</f>
        <v>Bristol Water</v>
      </c>
      <c r="L43" s="247" t="str">
        <f xml:space="preserve"> IFERROR( IF( ABS( E43 ) &lt;= 0.01, 'Map &amp; Key'!$G$71, IF( E43 &lt; 0, 'Map &amp; Key'!$G$70, 'Map &amp; Key'!$G$72 ) ), "-" )</f>
        <v>▲</v>
      </c>
      <c r="M43" s="120">
        <f xml:space="preserve"> VLOOKUP($C43, CALCS│Outcomes!$C$351:$L$367, MATCH( Year, CALCS│Outcomes!$C$2:$L$2, 0 ), 0 )</f>
        <v>0.66666666666666663</v>
      </c>
      <c r="N43" s="283"/>
      <c r="O43" s="283"/>
      <c r="P43" s="283"/>
    </row>
    <row r="44" spans="2:16" s="79" customFormat="1" ht="16.149999999999999" customHeight="1" outlineLevel="1" x14ac:dyDescent="0.3">
      <c r="B44" s="283"/>
      <c r="C44" s="174" t="s">
        <v>108</v>
      </c>
      <c r="D44" s="169">
        <f xml:space="preserve"> VLOOKUP($C44, CALCS│Outcomes!$C$351:$L$367, MATCH( Last_year, CALCS│Outcomes!$C$2:$L$2, 0 ), 0 )</f>
        <v>0.8</v>
      </c>
      <c r="E44" s="127">
        <f t="shared" si="0"/>
        <v>-6.2500000000000056E-2</v>
      </c>
      <c r="F44" s="283"/>
      <c r="G44" s="283"/>
      <c r="H44" s="283"/>
      <c r="I44" s="283"/>
      <c r="J44" s="283"/>
      <c r="K44" s="258" t="str">
        <f>VLOOKUP( C44, 'Map &amp; Key'!$C$78:$D$98, 2, 0 )</f>
        <v>Portsmouth Water</v>
      </c>
      <c r="L44" s="261" t="str">
        <f xml:space="preserve"> IFERROR( IF( ABS( E44 ) &lt;= 0.01, 'Map &amp; Key'!$G$71, IF( E44 &lt; 0, 'Map &amp; Key'!$G$70, 'Map &amp; Key'!$G$72 ) ), "-" )</f>
        <v>▼</v>
      </c>
      <c r="M44" s="120">
        <f xml:space="preserve"> VLOOKUP($C44, CALCS│Outcomes!$C$351:$L$367, MATCH( Year, CALCS│Outcomes!$C$2:$L$2, 0 ), 0 )</f>
        <v>0.75</v>
      </c>
      <c r="N44" s="283"/>
      <c r="O44" s="283"/>
      <c r="P44" s="283"/>
    </row>
    <row r="45" spans="2:16" s="79" customFormat="1" ht="16.149999999999999" customHeight="1" outlineLevel="1" x14ac:dyDescent="0.3">
      <c r="B45" s="283"/>
      <c r="C45" s="174" t="s">
        <v>112</v>
      </c>
      <c r="D45" s="169">
        <f xml:space="preserve"> VLOOKUP($C45, CALCS│Outcomes!$C$351:$L$367, MATCH( Last_year, CALCS│Outcomes!$C$2:$L$2, 0 ), 0 )</f>
        <v>0.32142857142857145</v>
      </c>
      <c r="E45" s="127">
        <f t="shared" si="0"/>
        <v>0.55555555555555547</v>
      </c>
      <c r="F45" s="283"/>
      <c r="G45" s="283"/>
      <c r="H45" s="283"/>
      <c r="I45" s="283"/>
      <c r="J45" s="283"/>
      <c r="K45" s="258" t="str">
        <f>VLOOKUP( C45, 'Map &amp; Key'!$C$78:$D$98, 2, 0 )</f>
        <v>South East Water</v>
      </c>
      <c r="L45" s="247" t="str">
        <f xml:space="preserve"> IFERROR( IF( ABS( E45 ) &lt;= 0.01, 'Map &amp; Key'!$G$71, IF( E45 &lt; 0, 'Map &amp; Key'!$G$70, 'Map &amp; Key'!$G$72 ) ), "-" )</f>
        <v>▲</v>
      </c>
      <c r="M45" s="120">
        <f xml:space="preserve"> VLOOKUP($C45, CALCS│Outcomes!$C$351:$L$367, MATCH( Year, CALCS│Outcomes!$C$2:$L$2, 0 ), 0 )</f>
        <v>0.5</v>
      </c>
      <c r="N45" s="283"/>
      <c r="O45" s="283"/>
      <c r="P45" s="283"/>
    </row>
    <row r="46" spans="2:16" s="79" customFormat="1" ht="16.149999999999999" customHeight="1" outlineLevel="1" x14ac:dyDescent="0.3">
      <c r="B46" s="283"/>
      <c r="C46" s="174" t="s">
        <v>114</v>
      </c>
      <c r="D46" s="169">
        <f xml:space="preserve"> VLOOKUP($C46, CALCS│Outcomes!$C$351:$L$367, MATCH( Last_year, CALCS│Outcomes!$C$2:$L$2, 0 ), 0 )</f>
        <v>0.66666666666666663</v>
      </c>
      <c r="E46" s="127">
        <f t="shared" si="0"/>
        <v>9.9999999999999978E-2</v>
      </c>
      <c r="F46" s="283"/>
      <c r="G46" s="283"/>
      <c r="H46" s="283"/>
      <c r="I46" s="283"/>
      <c r="J46" s="283"/>
      <c r="K46" s="258" t="str">
        <f>VLOOKUP( C46, 'Map &amp; Key'!$C$78:$D$98, 2, 0 )</f>
        <v>South Staffs Water</v>
      </c>
      <c r="L46" s="261" t="str">
        <f xml:space="preserve"> IFERROR( IF( ABS( E46 ) &lt;= 0.01, 'Map &amp; Key'!$G$71, IF( E46 &lt; 0, 'Map &amp; Key'!$G$70, 'Map &amp; Key'!$G$72 ) ), "-" )</f>
        <v>▲</v>
      </c>
      <c r="M46" s="120">
        <f xml:space="preserve"> VLOOKUP($C46, CALCS│Outcomes!$C$351:$L$367, MATCH( Year, CALCS│Outcomes!$C$2:$L$2, 0 ), 0 )</f>
        <v>0.73333333333333328</v>
      </c>
      <c r="N46" s="283"/>
      <c r="O46" s="283"/>
      <c r="P46" s="283"/>
    </row>
    <row r="47" spans="2:16" s="79" customFormat="1" ht="16.149999999999999" customHeight="1" outlineLevel="1" x14ac:dyDescent="0.3">
      <c r="B47" s="283"/>
      <c r="C47" s="174" t="s">
        <v>110</v>
      </c>
      <c r="D47" s="169">
        <f xml:space="preserve"> VLOOKUP($C47, CALCS│Outcomes!$C$351:$L$367, MATCH( Last_year, CALCS│Outcomes!$C$2:$L$2, 0 ), 0 )</f>
        <v>0.7142857142857143</v>
      </c>
      <c r="E47" s="127">
        <f t="shared" si="0"/>
        <v>0</v>
      </c>
      <c r="F47" s="283"/>
      <c r="G47" s="283"/>
      <c r="H47" s="283"/>
      <c r="I47" s="283"/>
      <c r="J47" s="283"/>
      <c r="K47" s="258" t="str">
        <f>VLOOKUP( C47, 'Map &amp; Key'!$C$78:$D$98, 2, 0 )</f>
        <v>SES Water</v>
      </c>
      <c r="L47" s="247" t="str">
        <f xml:space="preserve"> IFERROR( IF( ABS( E47 ) &lt;= 0.01, 'Map &amp; Key'!$G$71, IF( E47 &lt; 0, 'Map &amp; Key'!$G$70, 'Map &amp; Key'!$G$72 ) ), "-" )</f>
        <v>◄►</v>
      </c>
      <c r="M47" s="120">
        <f xml:space="preserve"> VLOOKUP($C47, CALCS│Outcomes!$C$351:$L$367, MATCH( Year, CALCS│Outcomes!$C$2:$L$2, 0 ), 0 )</f>
        <v>0.7142857142857143</v>
      </c>
      <c r="N47" s="283"/>
      <c r="O47" s="283"/>
      <c r="P47" s="283"/>
    </row>
    <row r="48" spans="2:16" outlineLevel="1" x14ac:dyDescent="0.25"/>
    <row r="49" spans="2:16" outlineLevel="1" x14ac:dyDescent="0.25">
      <c r="L49" s="8" t="s">
        <v>615</v>
      </c>
      <c r="M49" s="317">
        <f>_xlfn.PERCENTILE.INC(M31:M47, 0.75)</f>
        <v>0.7142857142857143</v>
      </c>
    </row>
    <row r="50" spans="2:16" outlineLevel="1" x14ac:dyDescent="0.25">
      <c r="L50" s="8" t="s">
        <v>616</v>
      </c>
      <c r="M50" s="317">
        <f>_xlfn.PERCENTILE.INC(M31:M47, 0.25)</f>
        <v>0.59259259259259256</v>
      </c>
    </row>
    <row r="52" spans="2:16" ht="13.5" x14ac:dyDescent="0.35">
      <c r="B52" s="9" t="s">
        <v>619</v>
      </c>
      <c r="C52" s="9"/>
      <c r="D52" s="9"/>
      <c r="E52" s="10"/>
      <c r="F52" s="9"/>
      <c r="G52" s="9"/>
      <c r="H52" s="9"/>
      <c r="I52" s="9"/>
      <c r="J52" s="9"/>
      <c r="K52" s="9" t="s">
        <v>618</v>
      </c>
      <c r="L52" s="9"/>
      <c r="M52" s="9"/>
      <c r="N52" s="9"/>
      <c r="O52" s="9"/>
      <c r="P52" s="9"/>
    </row>
    <row r="53" spans="2:16" outlineLevel="1" x14ac:dyDescent="0.25"/>
    <row r="54" spans="2:16" ht="13.5" outlineLevel="1" x14ac:dyDescent="0.35">
      <c r="L54" s="420" t="s">
        <v>614</v>
      </c>
      <c r="M54" s="420"/>
    </row>
    <row r="55" spans="2:16" ht="67.5" outlineLevel="1" x14ac:dyDescent="0.25">
      <c r="C55" s="288" t="s">
        <v>223</v>
      </c>
      <c r="D55" s="322" t="str">
        <f xml:space="preserve"> "ODI RoRE " &amp; Last_year</f>
        <v>ODI RoRE 2018-19</v>
      </c>
      <c r="E55" s="322" t="str">
        <f xml:space="preserve"> "Change to " &amp; Year</f>
        <v>Change to 2019-20</v>
      </c>
      <c r="K55" s="246"/>
      <c r="L55" s="272" t="str">
        <f xml:space="preserve"> "In " &amp; Year &amp; " compared to " &amp; Last_year</f>
        <v>In 2019-20 compared to 2018-19</v>
      </c>
      <c r="M55" s="272" t="s">
        <v>621</v>
      </c>
    </row>
    <row r="56" spans="2:16" s="79" customFormat="1" ht="16.149999999999999" customHeight="1" outlineLevel="1" x14ac:dyDescent="0.3">
      <c r="B56" s="283"/>
      <c r="C56" s="174" t="s">
        <v>80</v>
      </c>
      <c r="D56" s="316">
        <f xml:space="preserve"> VLOOKUP($C56, CALCS│Outcomes!$C$419:$L$435, MATCH( Last_year, CALCS│Outcomes!$C$2:$L$2, 0 ), 0 )</f>
        <v>4.7759262420559593E-3</v>
      </c>
      <c r="E56" s="177">
        <f xml:space="preserve"> IFERROR( ( M56 - D56 ) / ABS( D56 ), "-" )</f>
        <v>-1.6686940637517464</v>
      </c>
      <c r="F56" s="283"/>
      <c r="G56" s="283"/>
      <c r="H56" s="283"/>
      <c r="I56" s="283"/>
      <c r="J56" s="283"/>
      <c r="K56" s="258" t="str">
        <f>VLOOKUP( C56, 'Map &amp; Key'!$C$78:$D$98, 2, 0 )</f>
        <v>Anglian Water</v>
      </c>
      <c r="L56" s="247" t="str">
        <f xml:space="preserve"> IFERROR( IF( ABS( E56 ) &lt;= 0.01, 'Map &amp; Key'!$G$71, IF( E56 &lt; 0, 'Map &amp; Key'!$G$70, 'Map &amp; Key'!$G$72 ) ), "-" )</f>
        <v>▼</v>
      </c>
      <c r="M56" s="126">
        <f xml:space="preserve"> VLOOKUP($C56, CALCS│Outcomes!$C$419:$L$435, MATCH( Year, CALCS│Outcomes!$C$2:$L$2, 0 ), 0 )</f>
        <v>-3.1936335269790051E-3</v>
      </c>
      <c r="N56" s="283"/>
      <c r="O56" s="283"/>
      <c r="P56" s="283"/>
    </row>
    <row r="57" spans="2:16" s="79" customFormat="1" ht="16.149999999999999" customHeight="1" outlineLevel="1" x14ac:dyDescent="0.3">
      <c r="B57" s="283"/>
      <c r="C57" s="174" t="s">
        <v>82</v>
      </c>
      <c r="D57" s="315">
        <f xml:space="preserve"> VLOOKUP($C57, CALCS│Outcomes!$C$419:$L$435, MATCH( Last_year, CALCS│Outcomes!$C$2:$L$2, 0 ), 0 )</f>
        <v>-1.9566461759691617E-4</v>
      </c>
      <c r="E57" s="110">
        <f t="shared" ref="E57:E72" si="1" xml:space="preserve"> IFERROR( ( M57 - D57 ) / ABS( D57 ), "-" )</f>
        <v>-7.8853801301403461</v>
      </c>
      <c r="F57" s="283"/>
      <c r="G57" s="283"/>
      <c r="H57" s="283"/>
      <c r="I57" s="283"/>
      <c r="J57" s="283"/>
      <c r="K57" s="258" t="str">
        <f>VLOOKUP( C57, 'Map &amp; Key'!$C$78:$D$98, 2, 0 )</f>
        <v>Dŵr Cymru</v>
      </c>
      <c r="L57" s="261" t="str">
        <f xml:space="preserve"> IFERROR( IF( ABS( E57 ) &lt;= 0.01, 'Map &amp; Key'!$G$71, IF( E57 &lt; 0, 'Map &amp; Key'!$G$70, 'Map &amp; Key'!$G$72 ) ), "-" )</f>
        <v>▼</v>
      </c>
      <c r="M57" s="126">
        <f xml:space="preserve"> VLOOKUP($C57, CALCS│Outcomes!$C$419:$L$435, MATCH( Year, CALCS│Outcomes!$C$2:$L$2, 0 ), 0 )</f>
        <v>-1.7385545053671481E-3</v>
      </c>
      <c r="N57" s="283"/>
      <c r="O57" s="283"/>
      <c r="P57" s="283"/>
    </row>
    <row r="58" spans="2:16" s="79" customFormat="1" ht="16.149999999999999" customHeight="1" outlineLevel="1" x14ac:dyDescent="0.3">
      <c r="B58" s="283"/>
      <c r="C58" s="174" t="s">
        <v>85</v>
      </c>
      <c r="D58" s="315">
        <f xml:space="preserve"> VLOOKUP($C58, CALCS│Outcomes!$C$419:$L$435, MATCH( Last_year, CALCS│Outcomes!$C$2:$L$2, 0 ), 0 )</f>
        <v>-1.8157406265086117E-2</v>
      </c>
      <c r="E58" s="110">
        <f t="shared" si="1"/>
        <v>-1.9849992414011478E-2</v>
      </c>
      <c r="F58" s="283"/>
      <c r="G58" s="283"/>
      <c r="H58" s="283"/>
      <c r="I58" s="283"/>
      <c r="J58" s="283"/>
      <c r="K58" s="258" t="str">
        <f>VLOOKUP( C58, 'Map &amp; Key'!$C$78:$D$98, 2, 0 )</f>
        <v>Hafren Dyfrdwy</v>
      </c>
      <c r="L58" s="247" t="str">
        <f xml:space="preserve"> IFERROR( IF( ABS( E58 ) &lt;= 0.01, 'Map &amp; Key'!$G$71, IF( E58 &lt; 0, 'Map &amp; Key'!$G$70, 'Map &amp; Key'!$G$72 ) ), "-" )</f>
        <v>▼</v>
      </c>
      <c r="M58" s="126">
        <f xml:space="preserve"> VLOOKUP($C58, CALCS│Outcomes!$C$419:$L$435, MATCH( Year, CALCS│Outcomes!$C$2:$L$2, 0 ), 0 )</f>
        <v>-1.8517830641706201E-2</v>
      </c>
      <c r="N58" s="283"/>
      <c r="O58" s="283"/>
      <c r="P58" s="283"/>
    </row>
    <row r="59" spans="2:16" s="79" customFormat="1" ht="16.149999999999999" customHeight="1" outlineLevel="1" x14ac:dyDescent="0.3">
      <c r="B59" s="283"/>
      <c r="C59" s="174" t="s">
        <v>87</v>
      </c>
      <c r="D59" s="315">
        <f xml:space="preserve"> VLOOKUP($C59, CALCS│Outcomes!$C$419:$L$435, MATCH( Last_year, CALCS│Outcomes!$C$2:$L$2, 0 ), 0 )</f>
        <v>-2.315892953681791E-3</v>
      </c>
      <c r="E59" s="110">
        <f t="shared" si="1"/>
        <v>0.93994030381447236</v>
      </c>
      <c r="F59" s="283"/>
      <c r="G59" s="283"/>
      <c r="H59" s="283"/>
      <c r="I59" s="283"/>
      <c r="J59" s="283"/>
      <c r="K59" s="258" t="str">
        <f>VLOOKUP( C59, 'Map &amp; Key'!$C$78:$D$98, 2, 0 )</f>
        <v>Northumbrian Water</v>
      </c>
      <c r="L59" s="261" t="str">
        <f xml:space="preserve"> IFERROR( IF( ABS( E59 ) &lt;= 0.01, 'Map &amp; Key'!$G$71, IF( E59 &lt; 0, 'Map &amp; Key'!$G$70, 'Map &amp; Key'!$G$72 ) ), "-" )</f>
        <v>▲</v>
      </c>
      <c r="M59" s="126">
        <f xml:space="preserve"> VLOOKUP($C59, CALCS│Outcomes!$C$419:$L$435, MATCH( Year, CALCS│Outcomes!$C$2:$L$2, 0 ), 0 )</f>
        <v>-1.3909182719633263E-4</v>
      </c>
      <c r="N59" s="283"/>
      <c r="O59" s="283"/>
      <c r="P59" s="283"/>
    </row>
    <row r="60" spans="2:16" s="79" customFormat="1" ht="16.149999999999999" customHeight="1" outlineLevel="1" x14ac:dyDescent="0.3">
      <c r="B60" s="283"/>
      <c r="C60" s="174" t="s">
        <v>89</v>
      </c>
      <c r="D60" s="315">
        <f xml:space="preserve"> VLOOKUP($C60, CALCS│Outcomes!$C$419:$L$435, MATCH( Last_year, CALCS│Outcomes!$C$2:$L$2, 0 ), 0 )</f>
        <v>-1.1292198680321771E-3</v>
      </c>
      <c r="E60" s="110">
        <f t="shared" si="1"/>
        <v>9.7881720028542283</v>
      </c>
      <c r="F60" s="283"/>
      <c r="G60" s="283"/>
      <c r="H60" s="283"/>
      <c r="I60" s="283"/>
      <c r="J60" s="283"/>
      <c r="K60" s="258" t="str">
        <f>VLOOKUP( C60, 'Map &amp; Key'!$C$78:$D$98, 2, 0 )</f>
        <v>Severn Trent Water</v>
      </c>
      <c r="L60" s="247" t="str">
        <f xml:space="preserve"> IFERROR( IF( ABS( E60 ) &lt;= 0.01, 'Map &amp; Key'!$G$71, IF( E60 &lt; 0, 'Map &amp; Key'!$G$70, 'Map &amp; Key'!$G$72 ) ), "-" )</f>
        <v>▲</v>
      </c>
      <c r="M60" s="126">
        <f xml:space="preserve"> VLOOKUP($C60, CALCS│Outcomes!$C$419:$L$435, MATCH( Year, CALCS│Outcomes!$C$2:$L$2, 0 ), 0 )</f>
        <v>9.9237784293071257E-3</v>
      </c>
      <c r="N60" s="283"/>
      <c r="O60" s="283"/>
      <c r="P60" s="283"/>
    </row>
    <row r="61" spans="2:16" s="79" customFormat="1" ht="16.149999999999999" customHeight="1" outlineLevel="1" x14ac:dyDescent="0.3">
      <c r="B61" s="283"/>
      <c r="C61" s="176" t="s">
        <v>91</v>
      </c>
      <c r="D61" s="315">
        <f xml:space="preserve"> VLOOKUP($C61, CALCS│Outcomes!$C$419:$L$435, MATCH( Last_year, CALCS│Outcomes!$C$2:$L$2, 0 ), 0 )</f>
        <v>3.6573300562620817E-3</v>
      </c>
      <c r="E61" s="110">
        <f t="shared" si="1"/>
        <v>-0.50435654238022609</v>
      </c>
      <c r="F61" s="283"/>
      <c r="G61" s="283"/>
      <c r="H61" s="283"/>
      <c r="I61" s="283"/>
      <c r="J61" s="283"/>
      <c r="K61" s="258" t="str">
        <f>VLOOKUP( C61, 'Map &amp; Key'!$C$78:$D$98, 2, 0 )</f>
        <v>South West Water</v>
      </c>
      <c r="L61" s="261" t="str">
        <f xml:space="preserve"> IFERROR( IF( ABS( E61 ) &lt;= 0.01, 'Map &amp; Key'!$G$71, IF( E61 &lt; 0, 'Map &amp; Key'!$G$70, 'Map &amp; Key'!$G$72 ) ), "-" )</f>
        <v>▼</v>
      </c>
      <c r="M61" s="126">
        <f xml:space="preserve"> VLOOKUP($C61, CALCS│Outcomes!$C$419:$L$435, MATCH( Year, CALCS│Outcomes!$C$2:$L$2, 0 ), 0 )</f>
        <v>1.8127317147424602E-3</v>
      </c>
      <c r="N61" s="283"/>
      <c r="O61" s="283"/>
      <c r="P61" s="283"/>
    </row>
    <row r="62" spans="2:16" s="79" customFormat="1" ht="16.149999999999999" customHeight="1" outlineLevel="1" x14ac:dyDescent="0.3">
      <c r="B62" s="283"/>
      <c r="C62" s="174" t="s">
        <v>94</v>
      </c>
      <c r="D62" s="315">
        <f xml:space="preserve"> VLOOKUP($C62, CALCS│Outcomes!$C$419:$L$435, MATCH( Last_year, CALCS│Outcomes!$C$2:$L$2, 0 ), 0 )</f>
        <v>-2.1463492990944147E-4</v>
      </c>
      <c r="E62" s="110">
        <f t="shared" si="1"/>
        <v>-7.0715644121143546</v>
      </c>
      <c r="F62" s="283"/>
      <c r="G62" s="283"/>
      <c r="H62" s="283"/>
      <c r="I62" s="283"/>
      <c r="J62" s="283"/>
      <c r="K62" s="258" t="str">
        <f>VLOOKUP( C62, 'Map &amp; Key'!$C$78:$D$98, 2, 0 )</f>
        <v>Southern Water</v>
      </c>
      <c r="L62" s="247" t="str">
        <f xml:space="preserve"> IFERROR( IF( ABS( E62 ) &lt;= 0.01, 'Map &amp; Key'!$G$71, IF( E62 &lt; 0, 'Map &amp; Key'!$G$70, 'Map &amp; Key'!$G$72 ) ), "-" )</f>
        <v>▼</v>
      </c>
      <c r="M62" s="126">
        <f xml:space="preserve"> VLOOKUP($C62, CALCS│Outcomes!$C$419:$L$435, MATCH( Year, CALCS│Outcomes!$C$2:$L$2, 0 ), 0 )</f>
        <v>-1.7324396618537067E-3</v>
      </c>
      <c r="N62" s="283"/>
      <c r="O62" s="283"/>
      <c r="P62" s="283"/>
    </row>
    <row r="63" spans="2:16" s="79" customFormat="1" ht="16.149999999999999" customHeight="1" outlineLevel="1" x14ac:dyDescent="0.3">
      <c r="B63" s="283"/>
      <c r="C63" s="174" t="s">
        <v>96</v>
      </c>
      <c r="D63" s="315">
        <f xml:space="preserve"> VLOOKUP($C63, CALCS│Outcomes!$C$419:$L$435, MATCH( Last_year, CALCS│Outcomes!$C$2:$L$2, 0 ), 0 )</f>
        <v>-1.1337650166482504E-2</v>
      </c>
      <c r="E63" s="110">
        <f t="shared" si="1"/>
        <v>-1.4732118676877035</v>
      </c>
      <c r="F63" s="283"/>
      <c r="G63" s="283"/>
      <c r="H63" s="283"/>
      <c r="I63" s="283"/>
      <c r="J63" s="283"/>
      <c r="K63" s="258" t="str">
        <f>VLOOKUP( C63, 'Map &amp; Key'!$C$78:$D$98, 2, 0 )</f>
        <v>Thames Water</v>
      </c>
      <c r="L63" s="261" t="str">
        <f xml:space="preserve"> IFERROR( IF( ABS( E63 ) &lt;= 0.01, 'Map &amp; Key'!$G$71, IF( E63 &lt; 0, 'Map &amp; Key'!$G$70, 'Map &amp; Key'!$G$72 ) ), "-" )</f>
        <v>▼</v>
      </c>
      <c r="M63" s="126">
        <f xml:space="preserve"> VLOOKUP($C63, CALCS│Outcomes!$C$419:$L$435, MATCH( Year, CALCS│Outcomes!$C$2:$L$2, 0 ), 0 )</f>
        <v>-2.8040410943435998E-2</v>
      </c>
      <c r="N63" s="283"/>
      <c r="O63" s="283"/>
      <c r="P63" s="283"/>
    </row>
    <row r="64" spans="2:16" s="79" customFormat="1" ht="16.149999999999999" customHeight="1" outlineLevel="1" x14ac:dyDescent="0.3">
      <c r="B64" s="283"/>
      <c r="C64" s="174" t="s">
        <v>98</v>
      </c>
      <c r="D64" s="315">
        <f xml:space="preserve"> VLOOKUP($C64, CALCS│Outcomes!$C$419:$L$435, MATCH( Last_year, CALCS│Outcomes!$C$2:$L$2, 0 ), 0 )</f>
        <v>5.2723202724486917E-3</v>
      </c>
      <c r="E64" s="110">
        <f t="shared" si="1"/>
        <v>-0.14720869106893786</v>
      </c>
      <c r="F64" s="283"/>
      <c r="G64" s="283"/>
      <c r="H64" s="283"/>
      <c r="I64" s="283"/>
      <c r="J64" s="283"/>
      <c r="K64" s="258" t="str">
        <f>VLOOKUP( C64, 'Map &amp; Key'!$C$78:$D$98, 2, 0 )</f>
        <v>United Utilities</v>
      </c>
      <c r="L64" s="247" t="str">
        <f xml:space="preserve"> IFERROR( IF( ABS( E64 ) &lt;= 0.01, 'Map &amp; Key'!$G$71, IF( E64 &lt; 0, 'Map &amp; Key'!$G$70, 'Map &amp; Key'!$G$72 ) ), "-" )</f>
        <v>▼</v>
      </c>
      <c r="M64" s="126">
        <f xml:space="preserve"> VLOOKUP($C64, CALCS│Outcomes!$C$419:$L$435, MATCH( Year, CALCS│Outcomes!$C$2:$L$2, 0 ), 0 )</f>
        <v>4.496188906245294E-3</v>
      </c>
      <c r="N64" s="283"/>
      <c r="O64" s="283"/>
      <c r="P64" s="283"/>
    </row>
    <row r="65" spans="2:16" s="79" customFormat="1" ht="16.149999999999999" customHeight="1" outlineLevel="1" x14ac:dyDescent="0.3">
      <c r="B65" s="283"/>
      <c r="C65" s="174" t="s">
        <v>100</v>
      </c>
      <c r="D65" s="315">
        <f xml:space="preserve"> VLOOKUP($C65, CALCS│Outcomes!$C$419:$L$435, MATCH( Last_year, CALCS│Outcomes!$C$2:$L$2, 0 ), 0 )</f>
        <v>2.4219465102399674E-3</v>
      </c>
      <c r="E65" s="110">
        <f t="shared" si="1"/>
        <v>1.2485971656104993</v>
      </c>
      <c r="F65" s="283"/>
      <c r="G65" s="283"/>
      <c r="H65" s="283"/>
      <c r="I65" s="283"/>
      <c r="J65" s="283"/>
      <c r="K65" s="258" t="str">
        <f>VLOOKUP( C65, 'Map &amp; Key'!$C$78:$D$98, 2, 0 )</f>
        <v>Wessex Water</v>
      </c>
      <c r="L65" s="261" t="str">
        <f xml:space="preserve"> IFERROR( IF( ABS( E65 ) &lt;= 0.01, 'Map &amp; Key'!$G$71, IF( E65 &lt; 0, 'Map &amp; Key'!$G$70, 'Map &amp; Key'!$G$72 ) ), "-" )</f>
        <v>▲</v>
      </c>
      <c r="M65" s="126">
        <f xml:space="preserve"> VLOOKUP($C65, CALCS│Outcomes!$C$419:$L$435, MATCH( Year, CALCS│Outcomes!$C$2:$L$2, 0 ), 0 )</f>
        <v>5.4459820581858305E-3</v>
      </c>
      <c r="N65" s="283"/>
      <c r="O65" s="283"/>
      <c r="P65" s="283"/>
    </row>
    <row r="66" spans="2:16" s="79" customFormat="1" ht="16.149999999999999" customHeight="1" outlineLevel="1" x14ac:dyDescent="0.3">
      <c r="B66" s="283"/>
      <c r="C66" s="174" t="s">
        <v>102</v>
      </c>
      <c r="D66" s="315">
        <f xml:space="preserve"> VLOOKUP($C66, CALCS│Outcomes!$C$419:$L$435, MATCH( Last_year, CALCS│Outcomes!$C$2:$L$2, 0 ), 0 )</f>
        <v>4.1311488369656204E-3</v>
      </c>
      <c r="E66" s="110">
        <f t="shared" si="1"/>
        <v>2.059849686254505</v>
      </c>
      <c r="F66" s="283"/>
      <c r="G66" s="283"/>
      <c r="H66" s="283"/>
      <c r="I66" s="283"/>
      <c r="J66" s="283"/>
      <c r="K66" s="258" t="str">
        <f>VLOOKUP( C66, 'Map &amp; Key'!$C$78:$D$98, 2, 0 )</f>
        <v>Yorkshire Water</v>
      </c>
      <c r="L66" s="247" t="str">
        <f xml:space="preserve"> IFERROR( IF( ABS( E66 ) &lt;= 0.01, 'Map &amp; Key'!$G$71, IF( E66 &lt; 0, 'Map &amp; Key'!$G$70, 'Map &amp; Key'!$G$72 ) ), "-" )</f>
        <v>▲</v>
      </c>
      <c r="M66" s="126">
        <f xml:space="preserve"> VLOOKUP($C66, CALCS│Outcomes!$C$419:$L$435, MATCH( Year, CALCS│Outcomes!$C$2:$L$2, 0 ), 0 )</f>
        <v>1.2640694472659917E-2</v>
      </c>
      <c r="N66" s="283"/>
      <c r="O66" s="283"/>
      <c r="P66" s="283"/>
    </row>
    <row r="67" spans="2:16" s="79" customFormat="1" ht="16.149999999999999" customHeight="1" outlineLevel="1" x14ac:dyDescent="0.3">
      <c r="B67" s="283"/>
      <c r="C67" s="174" t="s">
        <v>104</v>
      </c>
      <c r="D67" s="315">
        <f xml:space="preserve"> VLOOKUP($C67, CALCS│Outcomes!$C$419:$L$435, MATCH( Last_year, CALCS│Outcomes!$C$2:$L$2, 0 ), 0 )</f>
        <v>-1.7591487072770858E-2</v>
      </c>
      <c r="E67" s="110">
        <f t="shared" si="1"/>
        <v>0.74714106299330696</v>
      </c>
      <c r="F67" s="283"/>
      <c r="G67" s="283"/>
      <c r="H67" s="283"/>
      <c r="I67" s="283"/>
      <c r="J67" s="283"/>
      <c r="K67" s="258" t="str">
        <f>VLOOKUP( C67, 'Map &amp; Key'!$C$78:$D$98, 2, 0 )</f>
        <v>Affinity Water</v>
      </c>
      <c r="L67" s="261" t="str">
        <f xml:space="preserve"> IFERROR( IF( ABS( E67 ) &lt;= 0.01, 'Map &amp; Key'!$G$71, IF( E67 &lt; 0, 'Map &amp; Key'!$G$70, 'Map &amp; Key'!$G$72 ) ), "-" )</f>
        <v>▲</v>
      </c>
      <c r="M67" s="126">
        <f xml:space="preserve"> VLOOKUP($C67, CALCS│Outcomes!$C$419:$L$435, MATCH( Year, CALCS│Outcomes!$C$2:$L$2, 0 ), 0 )</f>
        <v>-4.4481647215878226E-3</v>
      </c>
      <c r="N67" s="283"/>
      <c r="O67" s="283"/>
      <c r="P67" s="283"/>
    </row>
    <row r="68" spans="2:16" s="79" customFormat="1" ht="16.149999999999999" customHeight="1" outlineLevel="1" x14ac:dyDescent="0.3">
      <c r="B68" s="283"/>
      <c r="C68" s="174" t="s">
        <v>106</v>
      </c>
      <c r="D68" s="315">
        <f xml:space="preserve"> VLOOKUP($C68, CALCS│Outcomes!$C$419:$L$435, MATCH( Last_year, CALCS│Outcomes!$C$2:$L$2, 0 ), 0 )</f>
        <v>-2.0100924693402255E-2</v>
      </c>
      <c r="E68" s="110">
        <f t="shared" si="1"/>
        <v>1.5260630737080993</v>
      </c>
      <c r="F68" s="283"/>
      <c r="G68" s="283"/>
      <c r="H68" s="283"/>
      <c r="I68" s="283"/>
      <c r="J68" s="283"/>
      <c r="K68" s="258" t="str">
        <f>VLOOKUP( C68, 'Map &amp; Key'!$C$78:$D$98, 2, 0 )</f>
        <v>Bristol Water</v>
      </c>
      <c r="L68" s="247" t="str">
        <f xml:space="preserve"> IFERROR( IF( ABS( E68 ) &lt;= 0.01, 'Map &amp; Key'!$G$71, IF( E68 &lt; 0, 'Map &amp; Key'!$G$70, 'Map &amp; Key'!$G$72 ) ), "-" )</f>
        <v>▲</v>
      </c>
      <c r="M68" s="126">
        <f xml:space="preserve"> VLOOKUP($C68, CALCS│Outcomes!$C$419:$L$435, MATCH( Year, CALCS│Outcomes!$C$2:$L$2, 0 ), 0 )</f>
        <v>1.0574354228586226E-2</v>
      </c>
      <c r="N68" s="283"/>
      <c r="O68" s="283"/>
      <c r="P68" s="283"/>
    </row>
    <row r="69" spans="2:16" s="79" customFormat="1" ht="16.149999999999999" customHeight="1" outlineLevel="1" x14ac:dyDescent="0.3">
      <c r="B69" s="283"/>
      <c r="C69" s="174" t="s">
        <v>108</v>
      </c>
      <c r="D69" s="315">
        <f xml:space="preserve"> VLOOKUP($C69, CALCS│Outcomes!$C$419:$L$435, MATCH( Last_year, CALCS│Outcomes!$C$2:$L$2, 0 ), 0 )</f>
        <v>-7.6884090228284165E-3</v>
      </c>
      <c r="E69" s="110">
        <f t="shared" si="1"/>
        <v>-1.3739836933892116</v>
      </c>
      <c r="F69" s="283"/>
      <c r="G69" s="283"/>
      <c r="H69" s="283"/>
      <c r="I69" s="283"/>
      <c r="J69" s="283"/>
      <c r="K69" s="258" t="str">
        <f>VLOOKUP( C69, 'Map &amp; Key'!$C$78:$D$98, 2, 0 )</f>
        <v>Portsmouth Water</v>
      </c>
      <c r="L69" s="261" t="str">
        <f xml:space="preserve"> IFERROR( IF( ABS( E69 ) &lt;= 0.01, 'Map &amp; Key'!$G$71, IF( E69 &lt; 0, 'Map &amp; Key'!$G$70, 'Map &amp; Key'!$G$72 ) ), "-" )</f>
        <v>▼</v>
      </c>
      <c r="M69" s="126">
        <f xml:space="preserve"> VLOOKUP($C69, CALCS│Outcomes!$C$419:$L$435, MATCH( Year, CALCS│Outcomes!$C$2:$L$2, 0 ), 0 )</f>
        <v>-1.8252157648301143E-2</v>
      </c>
      <c r="N69" s="283"/>
      <c r="O69" s="283"/>
      <c r="P69" s="283"/>
    </row>
    <row r="70" spans="2:16" s="79" customFormat="1" ht="16.149999999999999" customHeight="1" outlineLevel="1" x14ac:dyDescent="0.3">
      <c r="B70" s="283"/>
      <c r="C70" s="174" t="s">
        <v>112</v>
      </c>
      <c r="D70" s="315">
        <f xml:space="preserve"> VLOOKUP($C70, CALCS│Outcomes!$C$419:$L$435, MATCH( Last_year, CALCS│Outcomes!$C$2:$L$2, 0 ), 0 )</f>
        <v>-1.0684773003286329E-4</v>
      </c>
      <c r="E70" s="110">
        <f t="shared" si="1"/>
        <v>11.112709730112664</v>
      </c>
      <c r="F70" s="283"/>
      <c r="G70" s="283"/>
      <c r="H70" s="283"/>
      <c r="I70" s="283"/>
      <c r="J70" s="283"/>
      <c r="K70" s="258" t="str">
        <f>VLOOKUP( C70, 'Map &amp; Key'!$C$78:$D$98, 2, 0 )</f>
        <v>South East Water</v>
      </c>
      <c r="L70" s="247" t="str">
        <f xml:space="preserve"> IFERROR( IF( ABS( E70 ) &lt;= 0.01, 'Map &amp; Key'!$G$71, IF( E70 &lt; 0, 'Map &amp; Key'!$G$70, 'Map &amp; Key'!$G$72 ) ), "-" )</f>
        <v>▲</v>
      </c>
      <c r="M70" s="126">
        <f xml:space="preserve"> VLOOKUP($C70, CALCS│Outcomes!$C$419:$L$435, MATCH( Year, CALCS│Outcomes!$C$2:$L$2, 0 ), 0 )</f>
        <v>1.0805200791437876E-3</v>
      </c>
      <c r="N70" s="283"/>
      <c r="O70" s="283"/>
      <c r="P70" s="283"/>
    </row>
    <row r="71" spans="2:16" s="79" customFormat="1" ht="16.149999999999999" customHeight="1" outlineLevel="1" x14ac:dyDescent="0.3">
      <c r="B71" s="283"/>
      <c r="C71" s="174" t="s">
        <v>114</v>
      </c>
      <c r="D71" s="315">
        <f xml:space="preserve"> VLOOKUP($C71, CALCS│Outcomes!$C$419:$L$435, MATCH( Last_year, CALCS│Outcomes!$C$2:$L$2, 0 ), 0 )</f>
        <v>1.9045609742082456E-3</v>
      </c>
      <c r="E71" s="110">
        <f t="shared" si="1"/>
        <v>3.0652879156939492</v>
      </c>
      <c r="F71" s="283"/>
      <c r="G71" s="283"/>
      <c r="H71" s="283"/>
      <c r="I71" s="283"/>
      <c r="J71" s="283"/>
      <c r="K71" s="258" t="str">
        <f>VLOOKUP( C71, 'Map &amp; Key'!$C$78:$D$98, 2, 0 )</f>
        <v>South Staffs Water</v>
      </c>
      <c r="L71" s="261" t="str">
        <f xml:space="preserve"> IFERROR( IF( ABS( E71 ) &lt;= 0.01, 'Map &amp; Key'!$G$71, IF( E71 &lt; 0, 'Map &amp; Key'!$G$70, 'Map &amp; Key'!$G$72 ) ), "-" )</f>
        <v>▲</v>
      </c>
      <c r="M71" s="126">
        <f xml:space="preserve"> VLOOKUP($C71, CALCS│Outcomes!$C$419:$L$435, MATCH( Year, CALCS│Outcomes!$C$2:$L$2, 0 ), 0 )</f>
        <v>7.7425887131510763E-3</v>
      </c>
      <c r="N71" s="283"/>
      <c r="O71" s="283"/>
      <c r="P71" s="283"/>
    </row>
    <row r="72" spans="2:16" s="79" customFormat="1" ht="16.149999999999999" customHeight="1" outlineLevel="1" x14ac:dyDescent="0.3">
      <c r="B72" s="283"/>
      <c r="C72" s="174" t="s">
        <v>110</v>
      </c>
      <c r="D72" s="315">
        <f xml:space="preserve"> VLOOKUP($C72, CALCS│Outcomes!$C$419:$L$435, MATCH( Last_year, CALCS│Outcomes!$C$2:$L$2, 0 ), 0 )</f>
        <v>-1.8055519789227303E-3</v>
      </c>
      <c r="E72" s="110">
        <f t="shared" si="1"/>
        <v>2.4466257308778734</v>
      </c>
      <c r="F72" s="283"/>
      <c r="G72" s="283"/>
      <c r="H72" s="283"/>
      <c r="I72" s="283"/>
      <c r="J72" s="283"/>
      <c r="K72" s="258" t="str">
        <f>VLOOKUP( C72, 'Map &amp; Key'!$C$78:$D$98, 2, 0 )</f>
        <v>SES Water</v>
      </c>
      <c r="L72" s="247" t="str">
        <f xml:space="preserve"> IFERROR( IF( ABS( E72 ) &lt;= 0.01, 'Map &amp; Key'!$G$71, IF( E72 &lt; 0, 'Map &amp; Key'!$G$70, 'Map &amp; Key'!$G$72 ) ), "-" )</f>
        <v>▲</v>
      </c>
      <c r="M72" s="126">
        <f xml:space="preserve"> VLOOKUP($C72, CALCS│Outcomes!$C$419:$L$435, MATCH( Year, CALCS│Outcomes!$C$2:$L$2, 0 ), 0 )</f>
        <v>2.611957951147085E-3</v>
      </c>
      <c r="N72" s="283"/>
      <c r="O72" s="283"/>
      <c r="P72" s="283"/>
    </row>
    <row r="73" spans="2:16" outlineLevel="1" x14ac:dyDescent="0.25"/>
    <row r="74" spans="2:16" outlineLevel="1" x14ac:dyDescent="0.25">
      <c r="L74" s="8" t="s">
        <v>615</v>
      </c>
      <c r="M74" s="314">
        <f>_xlfn.PERCENTILE.INC(M56:M72, 0.75)</f>
        <v>5.4459820581858305E-3</v>
      </c>
    </row>
    <row r="75" spans="2:16" outlineLevel="1" x14ac:dyDescent="0.25">
      <c r="L75" s="8" t="s">
        <v>616</v>
      </c>
      <c r="M75" s="314">
        <f>_xlfn.PERCENTILE.INC(M56:M72, 0.25)</f>
        <v>-3.1936335269790051E-3</v>
      </c>
    </row>
    <row r="77" spans="2:16" ht="13.5" x14ac:dyDescent="0.35">
      <c r="B77" s="9" t="s">
        <v>162</v>
      </c>
      <c r="C77" s="9"/>
      <c r="D77" s="9"/>
      <c r="E77" s="10"/>
      <c r="F77" s="9"/>
      <c r="G77" s="9"/>
      <c r="H77" s="9"/>
      <c r="I77" s="9"/>
      <c r="J77" s="9"/>
      <c r="K77" s="9" t="s">
        <v>642</v>
      </c>
      <c r="L77" s="9"/>
      <c r="M77" s="9"/>
      <c r="N77" s="9"/>
      <c r="O77" s="9"/>
      <c r="P77" s="9"/>
    </row>
    <row r="78" spans="2:16" outlineLevel="1" x14ac:dyDescent="0.25"/>
    <row r="79" spans="2:16" ht="40.5" customHeight="1" outlineLevel="1" x14ac:dyDescent="0.35">
      <c r="L79" s="419" t="s">
        <v>623</v>
      </c>
      <c r="M79" s="419"/>
      <c r="N79" s="419"/>
      <c r="O79" s="313" t="str">
        <f xml:space="preserve"> "Relative performance (" &amp; Year &amp; ")"</f>
        <v>Relative performance (2019-20)</v>
      </c>
    </row>
    <row r="80" spans="2:16" ht="51" customHeight="1" outlineLevel="1" x14ac:dyDescent="0.25">
      <c r="C80" s="288" t="s">
        <v>223</v>
      </c>
      <c r="D80" s="322" t="str">
        <f xml:space="preserve"> "PCs met " &amp; Last_year</f>
        <v>PCs met 2018-19</v>
      </c>
      <c r="E80" s="322" t="str">
        <f xml:space="preserve"> "PCs met " &amp; Year</f>
        <v>PCs met 2019-20</v>
      </c>
      <c r="F80" s="322" t="str">
        <f xml:space="preserve"> Year &amp; " actual PC1"</f>
        <v>2019-20 actual PC1</v>
      </c>
      <c r="G80" s="322" t="str">
        <f xml:space="preserve"> Year &amp; " actual PC2"</f>
        <v>2019-20 actual PC2</v>
      </c>
      <c r="H80" s="322" t="str">
        <f xml:space="preserve"> Year &amp; " target PC1"</f>
        <v>2019-20 target PC1</v>
      </c>
      <c r="I80" s="322" t="str">
        <f xml:space="preserve"> Year &amp; " target PC2"</f>
        <v>2019-20 target PC2</v>
      </c>
      <c r="K80" s="246"/>
      <c r="L80" s="272" t="s">
        <v>624</v>
      </c>
      <c r="M80" s="272" t="s">
        <v>625</v>
      </c>
      <c r="N80" s="272" t="s">
        <v>626</v>
      </c>
      <c r="O80" s="272" t="s">
        <v>627</v>
      </c>
    </row>
    <row r="81" spans="2:16" s="79" customFormat="1" ht="16.149999999999999" customHeight="1" outlineLevel="1" x14ac:dyDescent="0.3">
      <c r="B81" s="283"/>
      <c r="C81" s="175" t="s">
        <v>80</v>
      </c>
      <c r="D81" s="115">
        <f ca="1">'CALCS│Performance Commitments'!L10</f>
        <v>1</v>
      </c>
      <c r="E81" s="115">
        <f ca="1">'CALCS│Performance Commitments'!T10</f>
        <v>1</v>
      </c>
      <c r="F81" s="93">
        <f>'CALCS│Performance Commitments'!V10</f>
        <v>185</v>
      </c>
      <c r="G81" s="93" t="str">
        <f ca="1">'CALCS│Performance Commitments'!W10</f>
        <v>-</v>
      </c>
      <c r="H81" s="93">
        <f>'CALCS│Performance Commitments'!X10</f>
        <v>192</v>
      </c>
      <c r="I81" s="93" t="str">
        <f ca="1">'CALCS│Performance Commitments'!Y10</f>
        <v>-</v>
      </c>
      <c r="J81" s="283"/>
      <c r="K81" s="258" t="str">
        <f>VLOOKUP( C81, 'Map &amp; Key'!$C$78:$D$98, 2, 0 )</f>
        <v>Anglian Water</v>
      </c>
      <c r="L81" s="122" t="str">
        <f ca="1" xml:space="preserve"> _xlfn.IFNA( IF( OR( H81 = "-", D81 = "-" ), "-", IF( E81 = D81, 'Map &amp; Key'!$G$71, IF( E81 &gt; D81, 'Map &amp; Key'!$G$72, 'Map &amp; Key'!$G$70 ) ) ), "-" )</f>
        <v>◄►</v>
      </c>
      <c r="M81" s="262">
        <f ca="1" xml:space="preserve"> IF( OR( G81 = "-", I81 = "-" ), F81, TEXT( F81, "0.00" ) &amp; "; " &amp; TEXT( G81, "0.00" ) )</f>
        <v>185</v>
      </c>
      <c r="N81" s="262">
        <f ca="1" xml:space="preserve"> IF( OR( G81 = "-", I81 = "-" ), H81, TEXT( H81, "0.00" ) &amp; "; " &amp; TEXT( I81, "0.00" ) )</f>
        <v>192</v>
      </c>
      <c r="O81" s="123">
        <f xml:space="preserve"> VLOOKUP( C81, CALCS│Outcomes!$C$55:$L$71, MATCH( Year, CALCS│Outcomes!$C$2:$L$2, 0), 0 )</f>
        <v>4.7118241235888298</v>
      </c>
      <c r="P81" s="283"/>
    </row>
    <row r="82" spans="2:16" s="79" customFormat="1" ht="16.149999999999999" customHeight="1" outlineLevel="1" x14ac:dyDescent="0.3">
      <c r="B82" s="283"/>
      <c r="C82" s="174" t="s">
        <v>82</v>
      </c>
      <c r="D82" s="115">
        <f ca="1">'CALCS│Performance Commitments'!L11</f>
        <v>1</v>
      </c>
      <c r="E82" s="115">
        <f ca="1">'CALCS│Performance Commitments'!T11</f>
        <v>1</v>
      </c>
      <c r="F82" s="93">
        <f>'CALCS│Performance Commitments'!V11</f>
        <v>167.9</v>
      </c>
      <c r="G82" s="93" t="str">
        <f ca="1">'CALCS│Performance Commitments'!W11</f>
        <v>-</v>
      </c>
      <c r="H82" s="93">
        <f>'CALCS│Performance Commitments'!X11</f>
        <v>169</v>
      </c>
      <c r="I82" s="93" t="str">
        <f ca="1">'CALCS│Performance Commitments'!Y11</f>
        <v>-</v>
      </c>
      <c r="J82" s="283"/>
      <c r="K82" s="258" t="str">
        <f>VLOOKUP( C82, 'Map &amp; Key'!$C$78:$D$98, 2, 0 )</f>
        <v>Dŵr Cymru</v>
      </c>
      <c r="L82" s="122" t="str">
        <f ca="1" xml:space="preserve"> _xlfn.IFNA( IF( OR( H82 = "-", D82 = "-" ), "-", IF( E82 = D82, 'Map &amp; Key'!$G$71, IF( E82 &gt; D82, 'Map &amp; Key'!$G$72, 'Map &amp; Key'!$G$70 ) ) ), "-" )</f>
        <v>◄►</v>
      </c>
      <c r="M82" s="262">
        <f t="shared" ref="M82:M97" ca="1" si="2" xml:space="preserve"> IF( OR( G82 = "-", I82 = "-" ), F82, TEXT( F82, "0.00" ) &amp; "; " &amp; TEXT( G82, "0.00" ) )</f>
        <v>167.9</v>
      </c>
      <c r="N82" s="262">
        <f t="shared" ref="N82:N97" ca="1" si="3" xml:space="preserve"> IF( OR( G82 = "-", I82 = "-" ), H82, TEXT( H82, "0.00" ) &amp; "; " &amp; TEXT( I82, "0.00" ) )</f>
        <v>169</v>
      </c>
      <c r="O82" s="123">
        <f xml:space="preserve"> VLOOKUP( C82, CALCS│Outcomes!$C$55:$L$71, MATCH( Year, CALCS│Outcomes!$C$2:$L$2, 0), 0 )</f>
        <v>6.0558748656854187</v>
      </c>
      <c r="P82" s="283"/>
    </row>
    <row r="83" spans="2:16" s="79" customFormat="1" ht="16.149999999999999" customHeight="1" outlineLevel="1" x14ac:dyDescent="0.3">
      <c r="B83" s="283"/>
      <c r="C83" s="174" t="s">
        <v>85</v>
      </c>
      <c r="D83" s="115">
        <f ca="1">'CALCS│Performance Commitments'!L12</f>
        <v>0</v>
      </c>
      <c r="E83" s="115">
        <f ca="1">'CALCS│Performance Commitments'!T12</f>
        <v>1</v>
      </c>
      <c r="F83" s="93">
        <f>'CALCS│Performance Commitments'!V12</f>
        <v>5.9</v>
      </c>
      <c r="G83" s="93">
        <f ca="1">'CALCS│Performance Commitments'!W12</f>
        <v>6.8710000000000004</v>
      </c>
      <c r="H83" s="93">
        <f>'CALCS│Performance Commitments'!X12</f>
        <v>6.3</v>
      </c>
      <c r="I83" s="93">
        <f ca="1">'CALCS│Performance Commitments'!Y12</f>
        <v>7.7</v>
      </c>
      <c r="J83" s="283"/>
      <c r="K83" s="258" t="str">
        <f>VLOOKUP( C83, 'Map &amp; Key'!$C$78:$D$98, 2, 0 )</f>
        <v>Hafren Dyfrdwy</v>
      </c>
      <c r="L83" s="122" t="str">
        <f ca="1" xml:space="preserve"> _xlfn.IFNA( IF( OR( H83 = "-", D83 = "-" ), "-", IF( E83 = D83, 'Map &amp; Key'!$G$71, IF( E83 &gt; D83, 'Map &amp; Key'!$G$72, 'Map &amp; Key'!$G$70 ) ) ), "-" )</f>
        <v>▲</v>
      </c>
      <c r="M83" s="262" t="str">
        <f t="shared" ca="1" si="2"/>
        <v>5.90; 6.87</v>
      </c>
      <c r="N83" s="262" t="str">
        <f t="shared" ca="1" si="3"/>
        <v>6.30; 7.70</v>
      </c>
      <c r="O83" s="123">
        <f xml:space="preserve"> VLOOKUP( C83, CALCS│Outcomes!$C$55:$L$71, MATCH( Year, CALCS│Outcomes!$C$2:$L$2, 0), 0 )</f>
        <v>4.8710490237979425</v>
      </c>
      <c r="P83" s="283"/>
    </row>
    <row r="84" spans="2:16" s="79" customFormat="1" ht="16.149999999999999" customHeight="1" outlineLevel="1" x14ac:dyDescent="0.3">
      <c r="B84" s="283"/>
      <c r="C84" s="174" t="s">
        <v>87</v>
      </c>
      <c r="D84" s="115">
        <f ca="1">'CALCS│Performance Commitments'!L13</f>
        <v>1</v>
      </c>
      <c r="E84" s="115">
        <f ca="1">'CALCS│Performance Commitments'!T13</f>
        <v>1</v>
      </c>
      <c r="F84" s="93">
        <f>'CALCS│Performance Commitments'!V13</f>
        <v>134.80000000000001</v>
      </c>
      <c r="G84" s="93">
        <f ca="1">'CALCS│Performance Commitments'!W13</f>
        <v>63.2</v>
      </c>
      <c r="H84" s="93">
        <f>'CALCS│Performance Commitments'!X13</f>
        <v>137</v>
      </c>
      <c r="I84" s="93">
        <f ca="1">'CALCS│Performance Commitments'!Y13</f>
        <v>66</v>
      </c>
      <c r="J84" s="283"/>
      <c r="K84" s="258" t="str">
        <f>VLOOKUP( C84, 'Map &amp; Key'!$C$78:$D$98, 2, 0 )</f>
        <v>Northumbrian Water</v>
      </c>
      <c r="L84" s="122" t="str">
        <f ca="1" xml:space="preserve"> _xlfn.IFNA( IF( OR( H84 = "-", D84 = "-" ), "-", IF( E84 = D84, 'Map &amp; Key'!$G$71, IF( E84 &gt; D84, 'Map &amp; Key'!$G$72, 'Map &amp; Key'!$G$70 ) ) ), "-" )</f>
        <v>◄►</v>
      </c>
      <c r="M84" s="262" t="str">
        <f t="shared" ca="1" si="2"/>
        <v>134.80; 63.20</v>
      </c>
      <c r="N84" s="262" t="str">
        <f t="shared" ca="1" si="3"/>
        <v>137.00; 66.00</v>
      </c>
      <c r="O84" s="123">
        <f xml:space="preserve"> VLOOKUP( C84, CALCS│Outcomes!$C$55:$L$71, MATCH( Year, CALCS│Outcomes!$C$2:$L$2, 0), 0 )</f>
        <v>7.5591026022702117</v>
      </c>
      <c r="P84" s="283"/>
    </row>
    <row r="85" spans="2:16" s="79" customFormat="1" ht="16.149999999999999" customHeight="1" outlineLevel="1" x14ac:dyDescent="0.3">
      <c r="B85" s="283"/>
      <c r="C85" s="174" t="s">
        <v>89</v>
      </c>
      <c r="D85" s="115">
        <f ca="1">'CALCS│Performance Commitments'!L14</f>
        <v>0.5</v>
      </c>
      <c r="E85" s="115">
        <f ca="1">'CALCS│Performance Commitments'!T14</f>
        <v>1</v>
      </c>
      <c r="F85" s="93">
        <f>'CALCS│Performance Commitments'!V14</f>
        <v>401</v>
      </c>
      <c r="G85" s="93">
        <f ca="1">'CALCS│Performance Commitments'!W14</f>
        <v>3.5</v>
      </c>
      <c r="H85" s="93">
        <f>'CALCS│Performance Commitments'!X14</f>
        <v>416.3</v>
      </c>
      <c r="I85" s="93">
        <f ca="1">'CALCS│Performance Commitments'!Y14</f>
        <v>4.5</v>
      </c>
      <c r="J85" s="283"/>
      <c r="K85" s="258" t="str">
        <f>VLOOKUP( C85, 'Map &amp; Key'!$C$78:$D$98, 2, 0 )</f>
        <v>Severn Trent Water</v>
      </c>
      <c r="L85" s="122" t="str">
        <f ca="1" xml:space="preserve"> _xlfn.IFNA( IF( OR( H85 = "-", D85 = "-" ), "-", IF( E85 = D85, 'Map &amp; Key'!$G$71, IF( E85 &gt; D85, 'Map &amp; Key'!$G$72, 'Map &amp; Key'!$G$70 ) ) ), "-" )</f>
        <v>▲</v>
      </c>
      <c r="M85" s="262" t="str">
        <f t="shared" ca="1" si="2"/>
        <v>401.00; 3.50</v>
      </c>
      <c r="N85" s="262" t="str">
        <f t="shared" ca="1" si="3"/>
        <v>416.30; 4.50</v>
      </c>
      <c r="O85" s="123">
        <f xml:space="preserve"> VLOOKUP( C85, CALCS│Outcomes!$C$55:$L$71, MATCH( Year, CALCS│Outcomes!$C$2:$L$2, 0), 0 )</f>
        <v>8.5953317154808886</v>
      </c>
      <c r="P85" s="283"/>
    </row>
    <row r="86" spans="2:16" s="79" customFormat="1" ht="16.149999999999999" customHeight="1" outlineLevel="1" x14ac:dyDescent="0.3">
      <c r="B86" s="283"/>
      <c r="C86" s="176" t="s">
        <v>91</v>
      </c>
      <c r="D86" s="115">
        <f ca="1">'CALCS│Performance Commitments'!L15</f>
        <v>1</v>
      </c>
      <c r="E86" s="115">
        <f ca="1">'CALCS│Performance Commitments'!T15</f>
        <v>1</v>
      </c>
      <c r="F86" s="93">
        <f>'CALCS│Performance Commitments'!V15</f>
        <v>84</v>
      </c>
      <c r="G86" s="93">
        <f>'CALCS│Performance Commitments'!W15</f>
        <v>18.3</v>
      </c>
      <c r="H86" s="93">
        <f>'CALCS│Performance Commitments'!X15</f>
        <v>84</v>
      </c>
      <c r="I86" s="93">
        <f>'CALCS│Performance Commitments'!Y15</f>
        <v>20</v>
      </c>
      <c r="J86" s="283"/>
      <c r="K86" s="258" t="str">
        <f>VLOOKUP( C86, 'Map &amp; Key'!$C$78:$D$98, 2, 0 )</f>
        <v>South West Water</v>
      </c>
      <c r="L86" s="122" t="str">
        <f ca="1" xml:space="preserve"> _xlfn.IFNA( IF( OR( H86 = "-", D86 = "-" ), "-", IF( E86 = D86, 'Map &amp; Key'!$G$71, IF( E86 &gt; D86, 'Map &amp; Key'!$G$72, 'Map &amp; Key'!$G$70 ) ) ), "-" )</f>
        <v>◄►</v>
      </c>
      <c r="M86" s="262" t="str">
        <f t="shared" si="2"/>
        <v>84.00; 18.30</v>
      </c>
      <c r="N86" s="262" t="str">
        <f t="shared" si="3"/>
        <v>84.00; 20.00</v>
      </c>
      <c r="O86" s="123">
        <f xml:space="preserve"> VLOOKUP( C86, CALCS│Outcomes!$C$55:$L$71, MATCH( Year, CALCS│Outcomes!$C$2:$L$2, 0), 0 )</f>
        <v>5.7878107573147872</v>
      </c>
      <c r="P86" s="283"/>
    </row>
    <row r="87" spans="2:16" s="79" customFormat="1" ht="16.149999999999999" customHeight="1" outlineLevel="1" x14ac:dyDescent="0.3">
      <c r="B87" s="283"/>
      <c r="C87" s="174" t="s">
        <v>94</v>
      </c>
      <c r="D87" s="115" t="str">
        <f>'CALCS│Performance Commitments'!L16</f>
        <v>-</v>
      </c>
      <c r="E87" s="115">
        <f ca="1">'CALCS│Performance Commitments'!T16</f>
        <v>0</v>
      </c>
      <c r="F87" s="93">
        <f>'CALCS│Performance Commitments'!V16</f>
        <v>91.3</v>
      </c>
      <c r="G87" s="93" t="str">
        <f ca="1">'CALCS│Performance Commitments'!W16</f>
        <v>-</v>
      </c>
      <c r="H87" s="93">
        <f>'CALCS│Performance Commitments'!X16</f>
        <v>87</v>
      </c>
      <c r="I87" s="93" t="str">
        <f ca="1">'CALCS│Performance Commitments'!Y16</f>
        <v>-</v>
      </c>
      <c r="J87" s="283"/>
      <c r="K87" s="258" t="str">
        <f>VLOOKUP( C87, 'Map &amp; Key'!$C$78:$D$98, 2, 0 )</f>
        <v>Southern Water</v>
      </c>
      <c r="L87" s="122" t="str">
        <f xml:space="preserve"> _xlfn.IFNA( IF( OR( H87 = "-", D87 = "-" ), "-", IF( E87 = D87, 'Map &amp; Key'!$G$71, IF( E87 &gt; D87, 'Map &amp; Key'!$G$72, 'Map &amp; Key'!$G$70 ) ) ), "-" )</f>
        <v>-</v>
      </c>
      <c r="M87" s="262">
        <f t="shared" ca="1" si="2"/>
        <v>91.3</v>
      </c>
      <c r="N87" s="262">
        <f t="shared" ca="1" si="3"/>
        <v>87</v>
      </c>
      <c r="O87" s="123">
        <f xml:space="preserve"> VLOOKUP( C87, CALCS│Outcomes!$C$55:$L$71, MATCH( Year, CALCS│Outcomes!$C$2:$L$2, 0), 0 )</f>
        <v>6.7367274863352753</v>
      </c>
      <c r="P87" s="283"/>
    </row>
    <row r="88" spans="2:16" s="79" customFormat="1" ht="16.149999999999999" customHeight="1" outlineLevel="1" x14ac:dyDescent="0.3">
      <c r="B88" s="283"/>
      <c r="C88" s="174" t="s">
        <v>96</v>
      </c>
      <c r="D88" s="115">
        <f ca="1">'CALCS│Performance Commitments'!L17</f>
        <v>0</v>
      </c>
      <c r="E88" s="115">
        <f ca="1">'CALCS│Performance Commitments'!T17</f>
        <v>1</v>
      </c>
      <c r="F88" s="93">
        <f>'CALCS│Performance Commitments'!V17</f>
        <v>595</v>
      </c>
      <c r="G88" s="93" t="str">
        <f ca="1">'CALCS│Performance Commitments'!W17</f>
        <v>-</v>
      </c>
      <c r="H88" s="93">
        <f>'CALCS│Performance Commitments'!X17</f>
        <v>606</v>
      </c>
      <c r="I88" s="93" t="str">
        <f ca="1">'CALCS│Performance Commitments'!Y17</f>
        <v>-</v>
      </c>
      <c r="J88" s="283"/>
      <c r="K88" s="258" t="str">
        <f>VLOOKUP( C88, 'Map &amp; Key'!$C$78:$D$98, 2, 0 )</f>
        <v>Thames Water</v>
      </c>
      <c r="L88" s="122" t="str">
        <f ca="1" xml:space="preserve"> _xlfn.IFNA( IF( OR( H88 = "-", D88 = "-" ), "-", IF( E88 = D88, 'Map &amp; Key'!$G$71, IF( E88 &gt; D88, 'Map &amp; Key'!$G$72, 'Map &amp; Key'!$G$70 ) ) ), "-" )</f>
        <v>▲</v>
      </c>
      <c r="M88" s="262">
        <f t="shared" ca="1" si="2"/>
        <v>595</v>
      </c>
      <c r="N88" s="262">
        <f t="shared" ca="1" si="3"/>
        <v>606</v>
      </c>
      <c r="O88" s="123">
        <f xml:space="preserve"> VLOOKUP( C88, CALCS│Outcomes!$C$55:$L$71, MATCH( Year, CALCS│Outcomes!$C$2:$L$2, 0), 0 )</f>
        <v>18.809424728782279</v>
      </c>
      <c r="P88" s="283"/>
    </row>
    <row r="89" spans="2:16" s="79" customFormat="1" ht="16.149999999999999" customHeight="1" outlineLevel="1" x14ac:dyDescent="0.3">
      <c r="B89" s="283"/>
      <c r="C89" s="174" t="s">
        <v>98</v>
      </c>
      <c r="D89" s="115">
        <f ca="1">'CALCS│Performance Commitments'!L18</f>
        <v>1</v>
      </c>
      <c r="E89" s="115">
        <f ca="1">'CALCS│Performance Commitments'!T18</f>
        <v>1</v>
      </c>
      <c r="F89" s="93">
        <f>'CALCS│Performance Commitments'!V18</f>
        <v>446.2</v>
      </c>
      <c r="G89" s="93" t="str">
        <f ca="1">'CALCS│Performance Commitments'!W18</f>
        <v>-</v>
      </c>
      <c r="H89" s="93">
        <f>'CALCS│Performance Commitments'!X18</f>
        <v>462.65</v>
      </c>
      <c r="I89" s="93" t="str">
        <f ca="1">'CALCS│Performance Commitments'!Y18</f>
        <v>-</v>
      </c>
      <c r="J89" s="283"/>
      <c r="K89" s="258" t="str">
        <f>VLOOKUP( C89, 'Map &amp; Key'!$C$78:$D$98, 2, 0 )</f>
        <v>United Utilities</v>
      </c>
      <c r="L89" s="122" t="str">
        <f ca="1" xml:space="preserve"> _xlfn.IFNA( IF( OR( H89 = "-", D89 = "-" ), "-", IF( E89 = D89, 'Map &amp; Key'!$G$71, IF( E89 &gt; D89, 'Map &amp; Key'!$G$72, 'Map &amp; Key'!$G$70 ) ) ), "-" )</f>
        <v>◄►</v>
      </c>
      <c r="M89" s="262">
        <f t="shared" ca="1" si="2"/>
        <v>446.2</v>
      </c>
      <c r="N89" s="262">
        <f t="shared" ca="1" si="3"/>
        <v>462.65</v>
      </c>
      <c r="O89" s="123">
        <f xml:space="preserve"> VLOOKUP( C89, CALCS│Outcomes!$C$55:$L$71, MATCH( Year, CALCS│Outcomes!$C$2:$L$2, 0), 0 )</f>
        <v>10.5257932123475</v>
      </c>
      <c r="P89" s="283"/>
    </row>
    <row r="90" spans="2:16" s="79" customFormat="1" ht="16.149999999999999" customHeight="1" outlineLevel="1" x14ac:dyDescent="0.3">
      <c r="B90" s="283"/>
      <c r="C90" s="174" t="s">
        <v>100</v>
      </c>
      <c r="D90" s="115">
        <f ca="1">'CALCS│Performance Commitments'!L19</f>
        <v>1</v>
      </c>
      <c r="E90" s="115">
        <f ca="1">'CALCS│Performance Commitments'!T19</f>
        <v>1</v>
      </c>
      <c r="F90" s="93">
        <f>'CALCS│Performance Commitments'!V19</f>
        <v>61.4</v>
      </c>
      <c r="G90" s="93" t="str">
        <f ca="1">'CALCS│Performance Commitments'!W19</f>
        <v>-</v>
      </c>
      <c r="H90" s="93">
        <f>'CALCS│Performance Commitments'!X19</f>
        <v>66.5</v>
      </c>
      <c r="I90" s="93" t="str">
        <f ca="1">'CALCS│Performance Commitments'!Y19</f>
        <v>-</v>
      </c>
      <c r="J90" s="283"/>
      <c r="K90" s="258" t="str">
        <f>VLOOKUP( C90, 'Map &amp; Key'!$C$78:$D$98, 2, 0 )</f>
        <v>Wessex Water</v>
      </c>
      <c r="L90" s="122" t="str">
        <f ca="1" xml:space="preserve"> _xlfn.IFNA( IF( OR( H90 = "-", D90 = "-" ), "-", IF( E90 = D90, 'Map &amp; Key'!$G$71, IF( E90 &gt; D90, 'Map &amp; Key'!$G$72, 'Map &amp; Key'!$G$70 ) ) ), "-" )</f>
        <v>◄►</v>
      </c>
      <c r="M90" s="262">
        <f t="shared" ca="1" si="2"/>
        <v>61.4</v>
      </c>
      <c r="N90" s="262">
        <f t="shared" ca="1" si="3"/>
        <v>66.5</v>
      </c>
      <c r="O90" s="123">
        <f xml:space="preserve"> VLOOKUP( C90, CALCS│Outcomes!$C$55:$L$71, MATCH( Year, CALCS│Outcomes!$C$2:$L$2, 0), 0 )</f>
        <v>5.1005205773373605</v>
      </c>
      <c r="P90" s="283"/>
    </row>
    <row r="91" spans="2:16" s="79" customFormat="1" ht="16.149999999999999" customHeight="1" outlineLevel="1" x14ac:dyDescent="0.3">
      <c r="B91" s="283"/>
      <c r="C91" s="174" t="s">
        <v>102</v>
      </c>
      <c r="D91" s="115">
        <f ca="1">'CALCS│Performance Commitments'!L20</f>
        <v>1</v>
      </c>
      <c r="E91" s="115">
        <f ca="1">'CALCS│Performance Commitments'!T20</f>
        <v>1</v>
      </c>
      <c r="F91" s="93">
        <f>'CALCS│Performance Commitments'!V20</f>
        <v>270.8</v>
      </c>
      <c r="G91" s="93" t="str">
        <f ca="1">'CALCS│Performance Commitments'!W20</f>
        <v>-</v>
      </c>
      <c r="H91" s="93">
        <f>'CALCS│Performance Commitments'!X20</f>
        <v>287.10000000000002</v>
      </c>
      <c r="I91" s="93" t="str">
        <f ca="1">'CALCS│Performance Commitments'!Y20</f>
        <v>-</v>
      </c>
      <c r="J91" s="283"/>
      <c r="K91" s="258" t="str">
        <f>VLOOKUP( C91, 'Map &amp; Key'!$C$78:$D$98, 2, 0 )</f>
        <v>Yorkshire Water</v>
      </c>
      <c r="L91" s="122" t="str">
        <f ca="1" xml:space="preserve"> _xlfn.IFNA( IF( OR( H91 = "-", D91 = "-" ), "-", IF( E91 = D91, 'Map &amp; Key'!$G$71, IF( E91 &gt; D91, 'Map &amp; Key'!$G$72, 'Map &amp; Key'!$G$70 ) ) ), "-" )</f>
        <v>◄►</v>
      </c>
      <c r="M91" s="262">
        <f t="shared" ca="1" si="2"/>
        <v>270.8</v>
      </c>
      <c r="N91" s="262">
        <f t="shared" ca="1" si="3"/>
        <v>287.10000000000002</v>
      </c>
      <c r="O91" s="123">
        <f xml:space="preserve"> VLOOKUP( C91, CALCS│Outcomes!$C$55:$L$71, MATCH( Year, CALCS│Outcomes!$C$2:$L$2, 0), 0 )</f>
        <v>8.4898826938092053</v>
      </c>
      <c r="P91" s="283"/>
    </row>
    <row r="92" spans="2:16" s="79" customFormat="1" ht="16.149999999999999" customHeight="1" outlineLevel="1" x14ac:dyDescent="0.3">
      <c r="B92" s="283"/>
      <c r="C92" s="174" t="s">
        <v>104</v>
      </c>
      <c r="D92" s="115">
        <f ca="1">'CALCS│Performance Commitments'!L21</f>
        <v>0</v>
      </c>
      <c r="E92" s="115">
        <f ca="1">'CALCS│Performance Commitments'!T21</f>
        <v>1</v>
      </c>
      <c r="F92" s="93">
        <f>'CALCS│Performance Commitments'!V21</f>
        <v>162.1</v>
      </c>
      <c r="G92" s="93" t="str">
        <f ca="1">'CALCS│Performance Commitments'!W21</f>
        <v>-</v>
      </c>
      <c r="H92" s="93">
        <f>'CALCS│Performance Commitments'!X21</f>
        <v>162.19999999999999</v>
      </c>
      <c r="I92" s="93" t="str">
        <f ca="1">'CALCS│Performance Commitments'!Y21</f>
        <v>-</v>
      </c>
      <c r="J92" s="283"/>
      <c r="K92" s="258" t="str">
        <f>VLOOKUP( C92, 'Map &amp; Key'!$C$78:$D$98, 2, 0 )</f>
        <v>Affinity Water</v>
      </c>
      <c r="L92" s="122" t="str">
        <f ca="1" xml:space="preserve"> _xlfn.IFNA( IF( OR( H92 = "-", D92 = "-" ), "-", IF( E92 = D92, 'Map &amp; Key'!$G$71, IF( E92 &gt; D92, 'Map &amp; Key'!$G$72, 'Map &amp; Key'!$G$70 ) ) ), "-" )</f>
        <v>▲</v>
      </c>
      <c r="M92" s="262">
        <f t="shared" ca="1" si="2"/>
        <v>162.1</v>
      </c>
      <c r="N92" s="262">
        <f t="shared" ca="1" si="3"/>
        <v>162.19999999999999</v>
      </c>
      <c r="O92" s="123">
        <f xml:space="preserve"> VLOOKUP( C92, CALCS│Outcomes!$C$55:$L$71, MATCH( Year, CALCS│Outcomes!$C$2:$L$2, 0), 0 )</f>
        <v>9.656230861999493</v>
      </c>
      <c r="P92" s="283"/>
    </row>
    <row r="93" spans="2:16" s="79" customFormat="1" ht="16.149999999999999" customHeight="1" outlineLevel="1" x14ac:dyDescent="0.3">
      <c r="B93" s="283"/>
      <c r="C93" s="174" t="s">
        <v>106</v>
      </c>
      <c r="D93" s="115">
        <f ca="1">'CALCS│Performance Commitments'!L22</f>
        <v>0</v>
      </c>
      <c r="E93" s="115">
        <f ca="1">'CALCS│Performance Commitments'!T22</f>
        <v>1</v>
      </c>
      <c r="F93" s="93">
        <f>'CALCS│Performance Commitments'!V22</f>
        <v>40.9</v>
      </c>
      <c r="G93" s="93" t="str">
        <f ca="1">'CALCS│Performance Commitments'!W22</f>
        <v>-</v>
      </c>
      <c r="H93" s="93">
        <f>'CALCS│Performance Commitments'!X22</f>
        <v>43</v>
      </c>
      <c r="I93" s="93" t="str">
        <f ca="1">'CALCS│Performance Commitments'!Y22</f>
        <v>-</v>
      </c>
      <c r="J93" s="283"/>
      <c r="K93" s="258" t="str">
        <f>VLOOKUP( C93, 'Map &amp; Key'!$C$78:$D$98, 2, 0 )</f>
        <v>Bristol Water</v>
      </c>
      <c r="L93" s="122" t="str">
        <f ca="1" xml:space="preserve"> _xlfn.IFNA( IF( OR( H93 = "-", D93 = "-" ), "-", IF( E93 = D93, 'Map &amp; Key'!$G$71, IF( E93 &gt; D93, 'Map &amp; Key'!$G$72, 'Map &amp; Key'!$G$70 ) ) ), "-" )</f>
        <v>▲</v>
      </c>
      <c r="M93" s="262">
        <f t="shared" ca="1" si="2"/>
        <v>40.9</v>
      </c>
      <c r="N93" s="262">
        <f t="shared" ca="1" si="3"/>
        <v>43</v>
      </c>
      <c r="O93" s="123">
        <f xml:space="preserve"> VLOOKUP( C93, CALCS│Outcomes!$C$55:$L$71, MATCH( Year, CALCS│Outcomes!$C$2:$L$2, 0), 0 )</f>
        <v>5.4124344900515062</v>
      </c>
      <c r="P93" s="283"/>
    </row>
    <row r="94" spans="2:16" s="79" customFormat="1" ht="16.149999999999999" customHeight="1" outlineLevel="1" x14ac:dyDescent="0.3">
      <c r="B94" s="283"/>
      <c r="C94" s="174" t="s">
        <v>108</v>
      </c>
      <c r="D94" s="115">
        <f ca="1">'CALCS│Performance Commitments'!L23</f>
        <v>1</v>
      </c>
      <c r="E94" s="115">
        <f ca="1">'CALCS│Performance Commitments'!T23</f>
        <v>1</v>
      </c>
      <c r="F94" s="93">
        <f>'CALCS│Performance Commitments'!V23</f>
        <v>23.58</v>
      </c>
      <c r="G94" s="93" t="str">
        <f ca="1">'CALCS│Performance Commitments'!W23</f>
        <v>-</v>
      </c>
      <c r="H94" s="93">
        <f>'CALCS│Performance Commitments'!X23</f>
        <v>29.8</v>
      </c>
      <c r="I94" s="93" t="str">
        <f ca="1">'CALCS│Performance Commitments'!Y23</f>
        <v>-</v>
      </c>
      <c r="J94" s="283"/>
      <c r="K94" s="258" t="str">
        <f>VLOOKUP( C94, 'Map &amp; Key'!$C$78:$D$98, 2, 0 )</f>
        <v>Portsmouth Water</v>
      </c>
      <c r="L94" s="122" t="str">
        <f ca="1" xml:space="preserve"> _xlfn.IFNA( IF( OR( H94 = "-", D94 = "-" ), "-", IF( E94 = D94, 'Map &amp; Key'!$G$71, IF( E94 &gt; D94, 'Map &amp; Key'!$G$72, 'Map &amp; Key'!$G$70 ) ) ), "-" )</f>
        <v>◄►</v>
      </c>
      <c r="M94" s="262">
        <f t="shared" ca="1" si="2"/>
        <v>23.58</v>
      </c>
      <c r="N94" s="262">
        <f t="shared" ca="1" si="3"/>
        <v>29.8</v>
      </c>
      <c r="O94" s="123">
        <f xml:space="preserve"> VLOOKUP( C94, CALCS│Outcomes!$C$55:$L$71, MATCH( Year, CALCS│Outcomes!$C$2:$L$2, 0), 0 )</f>
        <v>7.0207824688858453</v>
      </c>
      <c r="P94" s="283"/>
    </row>
    <row r="95" spans="2:16" s="79" customFormat="1" ht="16.149999999999999" customHeight="1" outlineLevel="1" x14ac:dyDescent="0.3">
      <c r="B95" s="283"/>
      <c r="C95" s="174" t="s">
        <v>112</v>
      </c>
      <c r="D95" s="115">
        <f ca="1">'CALCS│Performance Commitments'!L24</f>
        <v>1</v>
      </c>
      <c r="E95" s="115">
        <f ca="1">'CALCS│Performance Commitments'!T24</f>
        <v>1</v>
      </c>
      <c r="F95" s="93">
        <f>'CALCS│Performance Commitments'!V24</f>
        <v>86.4</v>
      </c>
      <c r="G95" s="93" t="str">
        <f ca="1">'CALCS│Performance Commitments'!W24</f>
        <v>-</v>
      </c>
      <c r="H95" s="93">
        <f>'CALCS│Performance Commitments'!X24</f>
        <v>88.1</v>
      </c>
      <c r="I95" s="93" t="str">
        <f ca="1">'CALCS│Performance Commitments'!Y24</f>
        <v>-</v>
      </c>
      <c r="J95" s="283"/>
      <c r="K95" s="258" t="str">
        <f>VLOOKUP( C95, 'Map &amp; Key'!$C$78:$D$98, 2, 0 )</f>
        <v>South East Water</v>
      </c>
      <c r="L95" s="122" t="str">
        <f ca="1" xml:space="preserve"> _xlfn.IFNA( IF( OR( H95 = "-", D95 = "-" ), "-", IF( E95 = D95, 'Map &amp; Key'!$G$71, IF( E95 &gt; D95, 'Map &amp; Key'!$G$72, 'Map &amp; Key'!$G$70 ) ) ), "-" )</f>
        <v>◄►</v>
      </c>
      <c r="M95" s="262">
        <f t="shared" ca="1" si="2"/>
        <v>86.4</v>
      </c>
      <c r="N95" s="262">
        <f t="shared" ca="1" si="3"/>
        <v>88.1</v>
      </c>
      <c r="O95" s="123">
        <f xml:space="preserve"> VLOOKUP( C95, CALCS│Outcomes!$C$55:$L$71, MATCH( Year, CALCS│Outcomes!$C$2:$L$2, 0), 0 )</f>
        <v>5.8565538758616853</v>
      </c>
      <c r="P95" s="283"/>
    </row>
    <row r="96" spans="2:16" s="79" customFormat="1" ht="16.149999999999999" customHeight="1" outlineLevel="1" x14ac:dyDescent="0.3">
      <c r="B96" s="283"/>
      <c r="C96" s="174" t="s">
        <v>114</v>
      </c>
      <c r="D96" s="115">
        <f ca="1">'CALCS│Performance Commitments'!L25</f>
        <v>0.5</v>
      </c>
      <c r="E96" s="115">
        <f ca="1">'CALCS│Performance Commitments'!T25</f>
        <v>1</v>
      </c>
      <c r="F96" s="93">
        <f>'CALCS│Performance Commitments'!V25</f>
        <v>68.91</v>
      </c>
      <c r="G96" s="93">
        <f ca="1">'CALCS│Performance Commitments'!W25</f>
        <v>12.78</v>
      </c>
      <c r="H96" s="93">
        <f>'CALCS│Performance Commitments'!X25</f>
        <v>70.5</v>
      </c>
      <c r="I96" s="93">
        <f ca="1">'CALCS│Performance Commitments'!Y25</f>
        <v>13.5</v>
      </c>
      <c r="J96" s="283"/>
      <c r="K96" s="258" t="str">
        <f>VLOOKUP( C96, 'Map &amp; Key'!$C$78:$D$98, 2, 0 )</f>
        <v>South Staffs Water</v>
      </c>
      <c r="L96" s="122" t="str">
        <f ca="1" xml:space="preserve"> _xlfn.IFNA( IF( OR( H96 = "-", D96 = "-" ), "-", IF( E96 = D96, 'Map &amp; Key'!$G$71, IF( E96 &gt; D96, 'Map &amp; Key'!$G$72, 'Map &amp; Key'!$G$70 ) ) ), "-" )</f>
        <v>▲</v>
      </c>
      <c r="M96" s="262" t="str">
        <f t="shared" ca="1" si="2"/>
        <v>68.91; 12.78</v>
      </c>
      <c r="N96" s="262" t="str">
        <f t="shared" ca="1" si="3"/>
        <v>70.50; 13.50</v>
      </c>
      <c r="O96" s="123">
        <f xml:space="preserve"> VLOOKUP( C96, CALCS│Outcomes!$C$55:$L$71, MATCH( Year, CALCS│Outcomes!$C$2:$L$2, 0), 0 )</f>
        <v>9.5215338889212653</v>
      </c>
      <c r="P96" s="283"/>
    </row>
    <row r="97" spans="2:16" s="79" customFormat="1" ht="16.149999999999999" customHeight="1" outlineLevel="1" x14ac:dyDescent="0.3">
      <c r="B97" s="283"/>
      <c r="C97" s="174" t="s">
        <v>110</v>
      </c>
      <c r="D97" s="115">
        <f ca="1">'CALCS│Performance Commitments'!L26</f>
        <v>1</v>
      </c>
      <c r="E97" s="115">
        <f ca="1">'CALCS│Performance Commitments'!T26</f>
        <v>1</v>
      </c>
      <c r="F97" s="93">
        <f>'CALCS│Performance Commitments'!V26</f>
        <v>23.9</v>
      </c>
      <c r="G97" s="93" t="str">
        <f ca="1">'CALCS│Performance Commitments'!W26</f>
        <v>-</v>
      </c>
      <c r="H97" s="93">
        <f>'CALCS│Performance Commitments'!X26</f>
        <v>24</v>
      </c>
      <c r="I97" s="93" t="str">
        <f ca="1">'CALCS│Performance Commitments'!Y26</f>
        <v>-</v>
      </c>
      <c r="J97" s="283"/>
      <c r="K97" s="258" t="str">
        <f>VLOOKUP( C97, 'Map &amp; Key'!$C$78:$D$98, 2, 0 )</f>
        <v>SES Water</v>
      </c>
      <c r="L97" s="122" t="str">
        <f ca="1" xml:space="preserve"> _xlfn.IFNA( IF( OR( H97 = "-", D97 = "-" ), "-", IF( E97 = D97, 'Map &amp; Key'!$G$71, IF( E97 &gt; D97, 'Map &amp; Key'!$G$72, 'Map &amp; Key'!$G$70 ) ) ), "-" )</f>
        <v>◄►</v>
      </c>
      <c r="M97" s="262">
        <f t="shared" ca="1" si="2"/>
        <v>23.9</v>
      </c>
      <c r="N97" s="262">
        <f t="shared" ca="1" si="3"/>
        <v>24</v>
      </c>
      <c r="O97" s="123">
        <f xml:space="preserve"> VLOOKUP( C97, CALCS│Outcomes!$C$55:$L$71, MATCH( Year, CALCS│Outcomes!$C$2:$L$2, 0), 0 )</f>
        <v>6.8049970932335775</v>
      </c>
      <c r="P97" s="283"/>
    </row>
    <row r="98" spans="2:16" outlineLevel="1" x14ac:dyDescent="0.25"/>
    <row r="99" spans="2:16" outlineLevel="1" x14ac:dyDescent="0.25">
      <c r="N99" s="8" t="s">
        <v>615</v>
      </c>
      <c r="O99" s="82">
        <f>_xlfn.PERCENTILE.INC(O81:O97, 0.25)</f>
        <v>5.7878107573147872</v>
      </c>
    </row>
    <row r="100" spans="2:16" outlineLevel="1" x14ac:dyDescent="0.25">
      <c r="N100" s="8" t="s">
        <v>616</v>
      </c>
      <c r="O100" s="82">
        <f>_xlfn.PERCENTILE.INC(O81:O97, 0.75)</f>
        <v>8.5953317154808886</v>
      </c>
    </row>
    <row r="102" spans="2:16" ht="13.5" x14ac:dyDescent="0.35">
      <c r="B102" s="9" t="s">
        <v>163</v>
      </c>
      <c r="C102" s="9"/>
      <c r="D102" s="9"/>
      <c r="E102" s="10"/>
      <c r="F102" s="9"/>
      <c r="G102" s="9"/>
      <c r="H102" s="9"/>
      <c r="I102" s="9"/>
      <c r="J102" s="9"/>
      <c r="K102" s="9" t="s">
        <v>628</v>
      </c>
      <c r="L102" s="9"/>
      <c r="M102" s="9"/>
      <c r="N102" s="9"/>
      <c r="O102" s="9"/>
      <c r="P102" s="9"/>
    </row>
    <row r="103" spans="2:16" outlineLevel="1" x14ac:dyDescent="0.25"/>
    <row r="104" spans="2:16" ht="40.5" customHeight="1" outlineLevel="1" x14ac:dyDescent="0.35">
      <c r="L104" s="421" t="s">
        <v>623</v>
      </c>
      <c r="M104" s="422"/>
      <c r="N104" s="423"/>
      <c r="O104" s="313" t="str">
        <f xml:space="preserve"> "Relative performance (" &amp; Year &amp; ")"</f>
        <v>Relative performance (2019-20)</v>
      </c>
    </row>
    <row r="105" spans="2:16" ht="51" customHeight="1" outlineLevel="1" x14ac:dyDescent="0.25">
      <c r="C105" s="288" t="s">
        <v>223</v>
      </c>
      <c r="D105" s="322" t="str">
        <f xml:space="preserve"> "PCs met " &amp; Last_year</f>
        <v>PCs met 2018-19</v>
      </c>
      <c r="E105" s="322" t="str">
        <f xml:space="preserve"> "PCs met " &amp; Year</f>
        <v>PCs met 2019-20</v>
      </c>
      <c r="F105" s="322" t="str">
        <f xml:space="preserve"> Year &amp; " actual PC1"</f>
        <v>2019-20 actual PC1</v>
      </c>
      <c r="G105" s="322" t="str">
        <f xml:space="preserve"> Year &amp; " actual PC2"</f>
        <v>2019-20 actual PC2</v>
      </c>
      <c r="H105" s="322" t="str">
        <f xml:space="preserve"> Year &amp; " target PC1"</f>
        <v>2019-20 target PC1</v>
      </c>
      <c r="I105" s="322" t="str">
        <f xml:space="preserve"> Year &amp; " target PC2"</f>
        <v>2019-20 target PC2</v>
      </c>
      <c r="K105" s="246"/>
      <c r="L105" s="272" t="s">
        <v>624</v>
      </c>
      <c r="M105" s="272" t="s">
        <v>689</v>
      </c>
      <c r="N105" s="272" t="s">
        <v>688</v>
      </c>
      <c r="O105" s="272" t="s">
        <v>690</v>
      </c>
    </row>
    <row r="106" spans="2:16" ht="16.149999999999999" customHeight="1" outlineLevel="1" x14ac:dyDescent="0.25">
      <c r="C106" s="175" t="s">
        <v>80</v>
      </c>
      <c r="D106" s="115" t="str">
        <f>'CALCS│Performance Commitments'!L33</f>
        <v>-</v>
      </c>
      <c r="E106" s="115">
        <f ca="1">'CALCS│Performance Commitments'!T33</f>
        <v>0</v>
      </c>
      <c r="F106" s="93">
        <f>'CALCS│Performance Commitments'!V33</f>
        <v>134.821642266841</v>
      </c>
      <c r="G106" s="93" t="str">
        <f ca="1">'CALCS│Performance Commitments'!W33</f>
        <v>-</v>
      </c>
      <c r="H106" s="93">
        <f>'CALCS│Performance Commitments'!X33</f>
        <v>130.16967676918807</v>
      </c>
      <c r="I106" s="93" t="str">
        <f ca="1">'CALCS│Performance Commitments'!Y33</f>
        <v>-</v>
      </c>
      <c r="K106" s="258" t="str">
        <f>VLOOKUP( C106, 'Map &amp; Key'!$C$78:$D$98, 2, 0 )</f>
        <v>Anglian Water</v>
      </c>
      <c r="L106" s="122" t="str">
        <f xml:space="preserve"> _xlfn.IFNA( IF( OR( H106 = "-", D106 = "-" ), "-", IF( E106 = D106, 'Map &amp; Key'!$G$71, IF( E106 &gt; D106, 'Map &amp; Key'!$G$72, 'Map &amp; Key'!$G$70 ) ) ), "-" )</f>
        <v>-</v>
      </c>
      <c r="M106" s="262">
        <f ca="1" xml:space="preserve"> IF( OR( G106 = "-", I106 = "-" ), F106, TEXT( F106, "0.00" ) &amp; "; " &amp; TEXT( G106, "0.00" ) )</f>
        <v>134.821642266841</v>
      </c>
      <c r="N106" s="262">
        <f ca="1" xml:space="preserve"> IF( OR( G106 = "-", I106 = "-" ), H106, TEXT( H106, "0.00" ) &amp; "; " &amp; TEXT( I106, "0.00" ) )</f>
        <v>130.16967676918807</v>
      </c>
      <c r="O106" s="123">
        <f xml:space="preserve"> VLOOKUP( C106, CALCS│Outcomes!$C$80:$L$96, MATCH( Year, CALCS│Outcomes!$C$2:$L$2, 0), 0 )</f>
        <v>134.821642266841</v>
      </c>
    </row>
    <row r="107" spans="2:16" ht="16.149999999999999" customHeight="1" outlineLevel="1" x14ac:dyDescent="0.25">
      <c r="C107" s="174" t="s">
        <v>82</v>
      </c>
      <c r="D107" s="115" t="str">
        <f>'CALCS│Performance Commitments'!L34</f>
        <v>-</v>
      </c>
      <c r="E107" s="115" t="str">
        <f>'CALCS│Performance Commitments'!T34</f>
        <v>-</v>
      </c>
      <c r="F107" s="93" t="str">
        <f>'CALCS│Performance Commitments'!V34</f>
        <v>-</v>
      </c>
      <c r="G107" s="93" t="str">
        <f ca="1">'CALCS│Performance Commitments'!W34</f>
        <v>-</v>
      </c>
      <c r="H107" s="93" t="str">
        <f>'CALCS│Performance Commitments'!X34</f>
        <v>-</v>
      </c>
      <c r="I107" s="93" t="str">
        <f ca="1">'CALCS│Performance Commitments'!Y34</f>
        <v>-</v>
      </c>
      <c r="K107" s="258" t="str">
        <f>VLOOKUP( C107, 'Map &amp; Key'!$C$78:$D$98, 2, 0 )</f>
        <v>Dŵr Cymru</v>
      </c>
      <c r="L107" s="122" t="str">
        <f xml:space="preserve"> _xlfn.IFNA( IF( OR( H107 = "-", D107 = "-" ), "-", IF( E107 = D107, 'Map &amp; Key'!$G$71, IF( E107 &gt; D107, 'Map &amp; Key'!$G$72, 'Map &amp; Key'!$G$70 ) ) ), "-" )</f>
        <v>-</v>
      </c>
      <c r="M107" s="262" t="str">
        <f t="shared" ref="M107:M122" ca="1" si="4" xml:space="preserve"> IF( OR( G107 = "-", I107 = "-" ), F107, TEXT( F107, "0.00" ) &amp; "; " &amp; TEXT( G107, "0.00" ) )</f>
        <v>-</v>
      </c>
      <c r="N107" s="262" t="str">
        <f t="shared" ref="N107:N122" ca="1" si="5" xml:space="preserve"> IF( OR( G107 = "-", I107 = "-" ), H107, TEXT( H107, "0.00" ) &amp; "; " &amp; TEXT( I107, "0.00" ) )</f>
        <v>-</v>
      </c>
      <c r="O107" s="123">
        <f xml:space="preserve"> VLOOKUP( C107, CALCS│Outcomes!$C$80:$L$96, MATCH( Year, CALCS│Outcomes!$C$2:$L$2, 0), 0 )</f>
        <v>159.67466470701106</v>
      </c>
    </row>
    <row r="108" spans="2:16" ht="16.149999999999999" customHeight="1" outlineLevel="1" x14ac:dyDescent="0.25">
      <c r="C108" s="174" t="s">
        <v>85</v>
      </c>
      <c r="D108" s="115">
        <f ca="1">'CALCS│Performance Commitments'!L35</f>
        <v>0</v>
      </c>
      <c r="E108" s="115">
        <f ca="1">'CALCS│Performance Commitments'!T35</f>
        <v>0</v>
      </c>
      <c r="F108" s="93">
        <f>'CALCS│Performance Commitments'!V35</f>
        <v>141.25074237770039</v>
      </c>
      <c r="G108" s="93" t="str">
        <f ca="1">'CALCS│Performance Commitments'!W35</f>
        <v>-</v>
      </c>
      <c r="H108" s="93">
        <f>'CALCS│Performance Commitments'!X35</f>
        <v>127.28</v>
      </c>
      <c r="I108" s="93" t="str">
        <f ca="1">'CALCS│Performance Commitments'!Y35</f>
        <v>-</v>
      </c>
      <c r="K108" s="258" t="str">
        <f>VLOOKUP( C108, 'Map &amp; Key'!$C$78:$D$98, 2, 0 )</f>
        <v>Hafren Dyfrdwy</v>
      </c>
      <c r="L108" s="122" t="str">
        <f ca="1" xml:space="preserve"> _xlfn.IFNA( IF( OR( H108 = "-", D108 = "-" ), "-", IF( E108 = D108, 'Map &amp; Key'!$G$71, IF( E108 &gt; D108, 'Map &amp; Key'!$G$72, 'Map &amp; Key'!$G$70 ) ) ), "-" )</f>
        <v>◄►</v>
      </c>
      <c r="M108" s="262">
        <f t="shared" ca="1" si="4"/>
        <v>141.25074237770039</v>
      </c>
      <c r="N108" s="262">
        <f t="shared" ca="1" si="5"/>
        <v>127.28</v>
      </c>
      <c r="O108" s="123">
        <f xml:space="preserve"> VLOOKUP( C108, CALCS│Outcomes!$C$80:$L$96, MATCH( Year, CALCS│Outcomes!$C$2:$L$2, 0), 0 )</f>
        <v>141.70814867302039</v>
      </c>
    </row>
    <row r="109" spans="2:16" ht="16.149999999999999" customHeight="1" outlineLevel="1" x14ac:dyDescent="0.25">
      <c r="C109" s="174" t="s">
        <v>87</v>
      </c>
      <c r="D109" s="115" t="str">
        <f>'CALCS│Performance Commitments'!L36</f>
        <v>-</v>
      </c>
      <c r="E109" s="115" t="str">
        <f>'CALCS│Performance Commitments'!T36</f>
        <v>-</v>
      </c>
      <c r="F109" s="93" t="str">
        <f>'CALCS│Performance Commitments'!V36</f>
        <v>-</v>
      </c>
      <c r="G109" s="93" t="str">
        <f ca="1">'CALCS│Performance Commitments'!W36</f>
        <v>-</v>
      </c>
      <c r="H109" s="93" t="str">
        <f>'CALCS│Performance Commitments'!X36</f>
        <v>-</v>
      </c>
      <c r="I109" s="93" t="str">
        <f ca="1">'CALCS│Performance Commitments'!Y36</f>
        <v>-</v>
      </c>
      <c r="K109" s="258" t="str">
        <f>VLOOKUP( C109, 'Map &amp; Key'!$C$78:$D$98, 2, 0 )</f>
        <v>Northumbrian Water</v>
      </c>
      <c r="L109" s="122" t="str">
        <f xml:space="preserve"> _xlfn.IFNA( IF( OR( H109 = "-", D109 = "-" ), "-", IF( E109 = D109, 'Map &amp; Key'!$G$71, IF( E109 &gt; D109, 'Map &amp; Key'!$G$72, 'Map &amp; Key'!$G$70 ) ) ), "-" )</f>
        <v>-</v>
      </c>
      <c r="M109" s="262" t="str">
        <f t="shared" ca="1" si="4"/>
        <v>-</v>
      </c>
      <c r="N109" s="262" t="str">
        <f t="shared" ca="1" si="5"/>
        <v>-</v>
      </c>
      <c r="O109" s="123">
        <f xml:space="preserve"> VLOOKUP( C109, CALCS│Outcomes!$C$80:$L$96, MATCH( Year, CALCS│Outcomes!$C$2:$L$2, 0), 0 )</f>
        <v>148.86190071182247</v>
      </c>
    </row>
    <row r="110" spans="2:16" ht="16.149999999999999" customHeight="1" outlineLevel="1" x14ac:dyDescent="0.25">
      <c r="C110" s="174" t="s">
        <v>89</v>
      </c>
      <c r="D110" s="115">
        <f ca="1">'CALCS│Performance Commitments'!L37</f>
        <v>0</v>
      </c>
      <c r="E110" s="115">
        <f ca="1">'CALCS│Performance Commitments'!T37</f>
        <v>0</v>
      </c>
      <c r="F110" s="93">
        <f>'CALCS│Performance Commitments'!V37</f>
        <v>136.5335059822356</v>
      </c>
      <c r="G110" s="93" t="str">
        <f ca="1">'CALCS│Performance Commitments'!W37</f>
        <v>-</v>
      </c>
      <c r="H110" s="93">
        <f>'CALCS│Performance Commitments'!X37</f>
        <v>127.28</v>
      </c>
      <c r="I110" s="93" t="str">
        <f ca="1">'CALCS│Performance Commitments'!Y37</f>
        <v>-</v>
      </c>
      <c r="K110" s="258" t="str">
        <f>VLOOKUP( C110, 'Map &amp; Key'!$C$78:$D$98, 2, 0 )</f>
        <v>Severn Trent Water</v>
      </c>
      <c r="L110" s="122" t="str">
        <f ca="1" xml:space="preserve"> _xlfn.IFNA( IF( OR( H110 = "-", D110 = "-" ), "-", IF( E110 = D110, 'Map &amp; Key'!$G$71, IF( E110 &gt; D110, 'Map &amp; Key'!$G$72, 'Map &amp; Key'!$G$70 ) ) ), "-" )</f>
        <v>◄►</v>
      </c>
      <c r="M110" s="262">
        <f t="shared" ca="1" si="4"/>
        <v>136.5335059822356</v>
      </c>
      <c r="N110" s="262">
        <f t="shared" ca="1" si="5"/>
        <v>127.28</v>
      </c>
      <c r="O110" s="123">
        <f xml:space="preserve"> VLOOKUP( C110, CALCS│Outcomes!$C$80:$L$96, MATCH( Year, CALCS│Outcomes!$C$2:$L$2, 0), 0 )</f>
        <v>128.52244525764453</v>
      </c>
    </row>
    <row r="111" spans="2:16" ht="16.149999999999999" customHeight="1" outlineLevel="1" x14ac:dyDescent="0.25">
      <c r="C111" s="176" t="s">
        <v>91</v>
      </c>
      <c r="D111" s="115" t="str">
        <f>'CALCS│Performance Commitments'!L38</f>
        <v>-</v>
      </c>
      <c r="E111" s="115">
        <f>'CALCS│Performance Commitments'!T38</f>
        <v>0</v>
      </c>
      <c r="F111" s="93">
        <f>'CALCS│Performance Commitments'!V38</f>
        <v>153.63</v>
      </c>
      <c r="G111" s="93" t="str">
        <f>'CALCS│Performance Commitments'!W38</f>
        <v>-</v>
      </c>
      <c r="H111" s="93">
        <f>'CALCS│Performance Commitments'!X38</f>
        <v>140</v>
      </c>
      <c r="I111" s="93" t="str">
        <f>'CALCS│Performance Commitments'!Y38</f>
        <v>-</v>
      </c>
      <c r="K111" s="258" t="str">
        <f>VLOOKUP( C111, 'Map &amp; Key'!$C$78:$D$98, 2, 0 )</f>
        <v>South West Water</v>
      </c>
      <c r="L111" s="122" t="str">
        <f xml:space="preserve"> _xlfn.IFNA( IF( OR( H111 = "-", D111 = "-" ), "-", IF( E111 = D111, 'Map &amp; Key'!$G$71, IF( E111 &gt; D111, 'Map &amp; Key'!$G$72, 'Map &amp; Key'!$G$70 ) ) ), "-" )</f>
        <v>-</v>
      </c>
      <c r="M111" s="262">
        <f t="shared" si="4"/>
        <v>153.63</v>
      </c>
      <c r="N111" s="262">
        <f t="shared" si="5"/>
        <v>140</v>
      </c>
      <c r="O111" s="123">
        <f xml:space="preserve"> VLOOKUP( C111, CALCS│Outcomes!$C$80:$L$96, MATCH( Year, CALCS│Outcomes!$C$2:$L$2, 0), 0 )</f>
        <v>152.65384530719879</v>
      </c>
    </row>
    <row r="112" spans="2:16" ht="16.149999999999999" customHeight="1" outlineLevel="1" x14ac:dyDescent="0.25">
      <c r="C112" s="174" t="s">
        <v>94</v>
      </c>
      <c r="D112" s="115" t="str">
        <f>'CALCS│Performance Commitments'!L39</f>
        <v>-</v>
      </c>
      <c r="E112" s="115">
        <f ca="1">'CALCS│Performance Commitments'!T39</f>
        <v>1</v>
      </c>
      <c r="F112" s="93">
        <f>'CALCS│Performance Commitments'!V39</f>
        <v>129.30000000000001</v>
      </c>
      <c r="G112" s="93" t="str">
        <f ca="1">'CALCS│Performance Commitments'!W39</f>
        <v>-</v>
      </c>
      <c r="H112" s="93">
        <f>'CALCS│Performance Commitments'!X39</f>
        <v>133.69999999999999</v>
      </c>
      <c r="I112" s="93" t="str">
        <f ca="1">'CALCS│Performance Commitments'!Y39</f>
        <v>-</v>
      </c>
      <c r="K112" s="258" t="str">
        <f>VLOOKUP( C112, 'Map &amp; Key'!$C$78:$D$98, 2, 0 )</f>
        <v>Southern Water</v>
      </c>
      <c r="L112" s="122" t="str">
        <f xml:space="preserve"> _xlfn.IFNA( IF( OR( H112 = "-", D112 = "-" ), "-", IF( E112 = D112, 'Map &amp; Key'!$G$71, IF( E112 &gt; D112, 'Map &amp; Key'!$G$72, 'Map &amp; Key'!$G$70 ) ) ), "-" )</f>
        <v>-</v>
      </c>
      <c r="M112" s="262">
        <f t="shared" ca="1" si="4"/>
        <v>129.30000000000001</v>
      </c>
      <c r="N112" s="262">
        <f t="shared" ca="1" si="5"/>
        <v>133.69999999999999</v>
      </c>
      <c r="O112" s="123">
        <f xml:space="preserve"> VLOOKUP( C112, CALCS│Outcomes!$C$80:$L$96, MATCH( Year, CALCS│Outcomes!$C$2:$L$2, 0), 0 )</f>
        <v>126.54916491875368</v>
      </c>
    </row>
    <row r="113" spans="2:16" ht="16.149999999999999" customHeight="1" outlineLevel="1" x14ac:dyDescent="0.25">
      <c r="C113" s="174" t="s">
        <v>96</v>
      </c>
      <c r="D113" s="115" t="str">
        <f>'CALCS│Performance Commitments'!L40</f>
        <v>-</v>
      </c>
      <c r="E113" s="115" t="str">
        <f>'CALCS│Performance Commitments'!T40</f>
        <v>-</v>
      </c>
      <c r="F113" s="93" t="str">
        <f>'CALCS│Performance Commitments'!V40</f>
        <v>-</v>
      </c>
      <c r="G113" s="93" t="str">
        <f ca="1">'CALCS│Performance Commitments'!W40</f>
        <v>-</v>
      </c>
      <c r="H113" s="93" t="str">
        <f>'CALCS│Performance Commitments'!X40</f>
        <v>-</v>
      </c>
      <c r="I113" s="93" t="str">
        <f ca="1">'CALCS│Performance Commitments'!Y40</f>
        <v>-</v>
      </c>
      <c r="K113" s="258" t="str">
        <f>VLOOKUP( C113, 'Map &amp; Key'!$C$78:$D$98, 2, 0 )</f>
        <v>Thames Water</v>
      </c>
      <c r="L113" s="122" t="str">
        <f xml:space="preserve"> _xlfn.IFNA( IF( OR( H113 = "-", D113 = "-" ), "-", IF( E113 = D113, 'Map &amp; Key'!$G$71, IF( E113 &gt; D113, 'Map &amp; Key'!$G$72, 'Map &amp; Key'!$G$70 ) ) ), "-" )</f>
        <v>-</v>
      </c>
      <c r="M113" s="262" t="str">
        <f t="shared" ca="1" si="4"/>
        <v>-</v>
      </c>
      <c r="N113" s="262" t="str">
        <f t="shared" ca="1" si="5"/>
        <v>-</v>
      </c>
      <c r="O113" s="123">
        <f xml:space="preserve"> VLOOKUP( C113, CALCS│Outcomes!$C$80:$L$96, MATCH( Year, CALCS│Outcomes!$C$2:$L$2, 0), 0 )</f>
        <v>144.71587814173526</v>
      </c>
    </row>
    <row r="114" spans="2:16" ht="16.149999999999999" customHeight="1" outlineLevel="1" x14ac:dyDescent="0.25">
      <c r="C114" s="174" t="s">
        <v>98</v>
      </c>
      <c r="D114" s="115">
        <f ca="1">'CALCS│Performance Commitments'!L41</f>
        <v>0</v>
      </c>
      <c r="E114" s="115">
        <f ca="1">'CALCS│Performance Commitments'!T41</f>
        <v>0</v>
      </c>
      <c r="F114" s="93">
        <f>'CALCS│Performance Commitments'!V41</f>
        <v>141.19999999999999</v>
      </c>
      <c r="G114" s="93" t="str">
        <f ca="1">'CALCS│Performance Commitments'!W41</f>
        <v>-</v>
      </c>
      <c r="H114" s="93">
        <f>'CALCS│Performance Commitments'!X41</f>
        <v>130.1974025974026</v>
      </c>
      <c r="I114" s="93" t="str">
        <f ca="1">'CALCS│Performance Commitments'!Y41</f>
        <v>-</v>
      </c>
      <c r="K114" s="258" t="str">
        <f>VLOOKUP( C114, 'Map &amp; Key'!$C$78:$D$98, 2, 0 )</f>
        <v>United Utilities</v>
      </c>
      <c r="L114" s="122" t="str">
        <f ca="1" xml:space="preserve"> _xlfn.IFNA( IF( OR( H114 = "-", D114 = "-" ), "-", IF( E114 = D114, 'Map &amp; Key'!$G$71, IF( E114 &gt; D114, 'Map &amp; Key'!$G$72, 'Map &amp; Key'!$G$70 ) ) ), "-" )</f>
        <v>◄►</v>
      </c>
      <c r="M114" s="262">
        <f t="shared" ca="1" si="4"/>
        <v>141.19999999999999</v>
      </c>
      <c r="N114" s="262">
        <f t="shared" ca="1" si="5"/>
        <v>130.1974025974026</v>
      </c>
      <c r="O114" s="123">
        <f xml:space="preserve"> VLOOKUP( C114, CALCS│Outcomes!$C$80:$L$96, MATCH( Year, CALCS│Outcomes!$C$2:$L$2, 0), 0 )</f>
        <v>141.24574168472867</v>
      </c>
    </row>
    <row r="115" spans="2:16" ht="16.149999999999999" customHeight="1" outlineLevel="1" x14ac:dyDescent="0.25">
      <c r="C115" s="174" t="s">
        <v>100</v>
      </c>
      <c r="D115" s="115">
        <f ca="1">'CALCS│Performance Commitments'!L42</f>
        <v>0</v>
      </c>
      <c r="E115" s="115">
        <f ca="1">'CALCS│Performance Commitments'!T42</f>
        <v>0</v>
      </c>
      <c r="F115" s="93">
        <f>'CALCS│Performance Commitments'!V42</f>
        <v>145</v>
      </c>
      <c r="G115" s="93" t="str">
        <f ca="1">'CALCS│Performance Commitments'!W42</f>
        <v>-</v>
      </c>
      <c r="H115" s="93">
        <f>'CALCS│Performance Commitments'!X42</f>
        <v>131</v>
      </c>
      <c r="I115" s="93" t="str">
        <f ca="1">'CALCS│Performance Commitments'!Y42</f>
        <v>-</v>
      </c>
      <c r="K115" s="258" t="str">
        <f>VLOOKUP( C115, 'Map &amp; Key'!$C$78:$D$98, 2, 0 )</f>
        <v>Wessex Water</v>
      </c>
      <c r="L115" s="122" t="str">
        <f ca="1" xml:space="preserve"> _xlfn.IFNA( IF( OR( H115 = "-", D115 = "-" ), "-", IF( E115 = D115, 'Map &amp; Key'!$G$71, IF( E115 &gt; D115, 'Map &amp; Key'!$G$72, 'Map &amp; Key'!$G$70 ) ) ), "-" )</f>
        <v>◄►</v>
      </c>
      <c r="M115" s="262">
        <f t="shared" ca="1" si="4"/>
        <v>145</v>
      </c>
      <c r="N115" s="262">
        <f t="shared" ca="1" si="5"/>
        <v>131</v>
      </c>
      <c r="O115" s="123">
        <f xml:space="preserve"> VLOOKUP( C115, CALCS│Outcomes!$C$80:$L$96, MATCH( Year, CALCS│Outcomes!$C$2:$L$2, 0), 0 )</f>
        <v>145.80733119289394</v>
      </c>
    </row>
    <row r="116" spans="2:16" ht="16.149999999999999" customHeight="1" outlineLevel="1" x14ac:dyDescent="0.25">
      <c r="C116" s="174" t="s">
        <v>102</v>
      </c>
      <c r="D116" s="115">
        <f ca="1">'CALCS│Performance Commitments'!L43</f>
        <v>1</v>
      </c>
      <c r="E116" s="115">
        <f ca="1">'CALCS│Performance Commitments'!T43</f>
        <v>1</v>
      </c>
      <c r="F116" s="93">
        <f>'CALCS│Performance Commitments'!V43</f>
        <v>135</v>
      </c>
      <c r="G116" s="93" t="str">
        <f ca="1">'CALCS│Performance Commitments'!W43</f>
        <v>-</v>
      </c>
      <c r="H116" s="93">
        <f>'CALCS│Performance Commitments'!X43</f>
        <v>138.30000000000001</v>
      </c>
      <c r="I116" s="93" t="str">
        <f ca="1">'CALCS│Performance Commitments'!Y43</f>
        <v>-</v>
      </c>
      <c r="K116" s="258" t="str">
        <f>VLOOKUP( C116, 'Map &amp; Key'!$C$78:$D$98, 2, 0 )</f>
        <v>Yorkshire Water</v>
      </c>
      <c r="L116" s="122" t="str">
        <f ca="1" xml:space="preserve"> _xlfn.IFNA( IF( OR( H116 = "-", D116 = "-" ), "-", IF( E116 = D116, 'Map &amp; Key'!$G$71, IF( E116 &gt; D116, 'Map &amp; Key'!$G$72, 'Map &amp; Key'!$G$70 ) ) ), "-" )</f>
        <v>◄►</v>
      </c>
      <c r="M116" s="262">
        <f t="shared" ca="1" si="4"/>
        <v>135</v>
      </c>
      <c r="N116" s="262">
        <f t="shared" ca="1" si="5"/>
        <v>138.30000000000001</v>
      </c>
      <c r="O116" s="123">
        <f xml:space="preserve"> VLOOKUP( C116, CALCS│Outcomes!$C$80:$L$96, MATCH( Year, CALCS│Outcomes!$C$2:$L$2, 0), 0 )</f>
        <v>134.96443658575174</v>
      </c>
    </row>
    <row r="117" spans="2:16" ht="16.149999999999999" customHeight="1" outlineLevel="1" x14ac:dyDescent="0.25">
      <c r="C117" s="174" t="s">
        <v>104</v>
      </c>
      <c r="D117" s="115">
        <f ca="1">'CALCS│Performance Commitments'!L44</f>
        <v>1</v>
      </c>
      <c r="E117" s="115">
        <f ca="1">'CALCS│Performance Commitments'!T44</f>
        <v>0</v>
      </c>
      <c r="F117" s="93">
        <f>'CALCS│Performance Commitments'!V44</f>
        <v>153</v>
      </c>
      <c r="G117" s="93" t="str">
        <f ca="1">'CALCS│Performance Commitments'!W44</f>
        <v>-</v>
      </c>
      <c r="H117" s="93">
        <f>'CALCS│Performance Commitments'!X44</f>
        <v>147.4</v>
      </c>
      <c r="I117" s="93" t="str">
        <f ca="1">'CALCS│Performance Commitments'!Y44</f>
        <v>-</v>
      </c>
      <c r="K117" s="258" t="str">
        <f>VLOOKUP( C117, 'Map &amp; Key'!$C$78:$D$98, 2, 0 )</f>
        <v>Affinity Water</v>
      </c>
      <c r="L117" s="122" t="str">
        <f ca="1" xml:space="preserve"> _xlfn.IFNA( IF( OR( H117 = "-", D117 = "-" ), "-", IF( E117 = D117, 'Map &amp; Key'!$G$71, IF( E117 &gt; D117, 'Map &amp; Key'!$G$72, 'Map &amp; Key'!$G$70 ) ) ), "-" )</f>
        <v>▼</v>
      </c>
      <c r="M117" s="262">
        <f t="shared" ca="1" si="4"/>
        <v>153</v>
      </c>
      <c r="N117" s="262">
        <f t="shared" ca="1" si="5"/>
        <v>147.4</v>
      </c>
      <c r="O117" s="123">
        <f xml:space="preserve"> VLOOKUP( C117, CALCS│Outcomes!$C$80:$L$96, MATCH( Year, CALCS│Outcomes!$C$2:$L$2, 0), 0 )</f>
        <v>154.97182242087445</v>
      </c>
    </row>
    <row r="118" spans="2:16" ht="16.149999999999999" customHeight="1" outlineLevel="1" x14ac:dyDescent="0.25">
      <c r="C118" s="174" t="s">
        <v>106</v>
      </c>
      <c r="D118" s="115">
        <f ca="1">'CALCS│Performance Commitments'!L45</f>
        <v>0</v>
      </c>
      <c r="E118" s="115">
        <f ca="1">'CALCS│Performance Commitments'!T45</f>
        <v>0</v>
      </c>
      <c r="F118" s="93">
        <f>'CALCS│Performance Commitments'!V45</f>
        <v>144.6</v>
      </c>
      <c r="G118" s="93" t="str">
        <f ca="1">'CALCS│Performance Commitments'!W45</f>
        <v>-</v>
      </c>
      <c r="H118" s="93">
        <f>'CALCS│Performance Commitments'!X45</f>
        <v>142</v>
      </c>
      <c r="I118" s="93" t="str">
        <f ca="1">'CALCS│Performance Commitments'!Y45</f>
        <v>-</v>
      </c>
      <c r="K118" s="258" t="str">
        <f>VLOOKUP( C118, 'Map &amp; Key'!$C$78:$D$98, 2, 0 )</f>
        <v>Bristol Water</v>
      </c>
      <c r="L118" s="122" t="str">
        <f ca="1" xml:space="preserve"> _xlfn.IFNA( IF( OR( H118 = "-", D118 = "-" ), "-", IF( E118 = D118, 'Map &amp; Key'!$G$71, IF( E118 &gt; D118, 'Map &amp; Key'!$G$72, 'Map &amp; Key'!$G$70 ) ) ), "-" )</f>
        <v>◄►</v>
      </c>
      <c r="M118" s="262">
        <f t="shared" ca="1" si="4"/>
        <v>144.6</v>
      </c>
      <c r="N118" s="262">
        <f t="shared" ca="1" si="5"/>
        <v>142</v>
      </c>
      <c r="O118" s="123">
        <f xml:space="preserve"> VLOOKUP( C118, CALCS│Outcomes!$C$80:$L$96, MATCH( Year, CALCS│Outcomes!$C$2:$L$2, 0), 0 )</f>
        <v>146.55214708388806</v>
      </c>
    </row>
    <row r="119" spans="2:16" ht="16.149999999999999" customHeight="1" outlineLevel="1" x14ac:dyDescent="0.25">
      <c r="C119" s="174" t="s">
        <v>108</v>
      </c>
      <c r="D119" s="115">
        <f ca="1">'CALCS│Performance Commitments'!L46</f>
        <v>0</v>
      </c>
      <c r="E119" s="115">
        <f ca="1">'CALCS│Performance Commitments'!T46</f>
        <v>0</v>
      </c>
      <c r="F119" s="93">
        <f>'CALCS│Performance Commitments'!V46</f>
        <v>153.6</v>
      </c>
      <c r="G119" s="93" t="str">
        <f ca="1">'CALCS│Performance Commitments'!W46</f>
        <v>-</v>
      </c>
      <c r="H119" s="93">
        <f>'CALCS│Performance Commitments'!X46</f>
        <v>143.93</v>
      </c>
      <c r="I119" s="93" t="str">
        <f ca="1">'CALCS│Performance Commitments'!Y46</f>
        <v>-</v>
      </c>
      <c r="K119" s="258" t="str">
        <f>VLOOKUP( C119, 'Map &amp; Key'!$C$78:$D$98, 2, 0 )</f>
        <v>Portsmouth Water</v>
      </c>
      <c r="L119" s="122" t="str">
        <f ca="1" xml:space="preserve"> _xlfn.IFNA( IF( OR( H119 = "-", D119 = "-" ), "-", IF( E119 = D119, 'Map &amp; Key'!$G$71, IF( E119 &gt; D119, 'Map &amp; Key'!$G$72, 'Map &amp; Key'!$G$70 ) ) ), "-" )</f>
        <v>◄►</v>
      </c>
      <c r="M119" s="262">
        <f t="shared" ca="1" si="4"/>
        <v>153.6</v>
      </c>
      <c r="N119" s="262">
        <f t="shared" ca="1" si="5"/>
        <v>143.93</v>
      </c>
      <c r="O119" s="123">
        <f xml:space="preserve"> VLOOKUP( C119, CALCS│Outcomes!$C$80:$L$96, MATCH( Year, CALCS│Outcomes!$C$2:$L$2, 0), 0 )</f>
        <v>153.11624205938838</v>
      </c>
    </row>
    <row r="120" spans="2:16" ht="16.149999999999999" customHeight="1" outlineLevel="1" x14ac:dyDescent="0.25">
      <c r="C120" s="174" t="s">
        <v>112</v>
      </c>
      <c r="D120" s="115" t="str">
        <f>'CALCS│Performance Commitments'!L47</f>
        <v>-</v>
      </c>
      <c r="E120" s="115" t="str">
        <f>'CALCS│Performance Commitments'!T47</f>
        <v>-</v>
      </c>
      <c r="F120" s="93" t="str">
        <f>'CALCS│Performance Commitments'!V47</f>
        <v>-</v>
      </c>
      <c r="G120" s="93" t="str">
        <f ca="1">'CALCS│Performance Commitments'!W47</f>
        <v>-</v>
      </c>
      <c r="H120" s="93" t="str">
        <f>'CALCS│Performance Commitments'!X47</f>
        <v>-</v>
      </c>
      <c r="I120" s="93" t="str">
        <f ca="1">'CALCS│Performance Commitments'!Y47</f>
        <v>-</v>
      </c>
      <c r="K120" s="258" t="str">
        <f>VLOOKUP( C120, 'Map &amp; Key'!$C$78:$D$98, 2, 0 )</f>
        <v>South East Water</v>
      </c>
      <c r="L120" s="122" t="str">
        <f xml:space="preserve"> _xlfn.IFNA( IF( OR( H120 = "-", D120 = "-" ), "-", IF( E120 = D120, 'Map &amp; Key'!$G$71, IF( E120 &gt; D120, 'Map &amp; Key'!$G$72, 'Map &amp; Key'!$G$70 ) ) ), "-" )</f>
        <v>-</v>
      </c>
      <c r="M120" s="262" t="str">
        <f t="shared" ca="1" si="4"/>
        <v>-</v>
      </c>
      <c r="N120" s="262" t="str">
        <f t="shared" ca="1" si="5"/>
        <v>-</v>
      </c>
      <c r="O120" s="123">
        <f xml:space="preserve"> VLOOKUP( C120, CALCS│Outcomes!$C$80:$L$96, MATCH( Year, CALCS│Outcomes!$C$2:$L$2, 0), 0 )</f>
        <v>149.50438417543901</v>
      </c>
    </row>
    <row r="121" spans="2:16" ht="16.149999999999999" customHeight="1" outlineLevel="1" x14ac:dyDescent="0.25">
      <c r="C121" s="174" t="s">
        <v>114</v>
      </c>
      <c r="D121" s="115">
        <f ca="1">'CALCS│Performance Commitments'!L48</f>
        <v>0</v>
      </c>
      <c r="E121" s="115">
        <f ca="1">'CALCS│Performance Commitments'!T48</f>
        <v>0</v>
      </c>
      <c r="F121" s="93">
        <f>'CALCS│Performance Commitments'!V48</f>
        <v>128.57</v>
      </c>
      <c r="G121" s="93" t="str">
        <f ca="1">'CALCS│Performance Commitments'!W48</f>
        <v>-</v>
      </c>
      <c r="H121" s="93">
        <f>'CALCS│Performance Commitments'!X48</f>
        <v>128.31</v>
      </c>
      <c r="I121" s="93" t="str">
        <f ca="1">'CALCS│Performance Commitments'!Y48</f>
        <v>-</v>
      </c>
      <c r="K121" s="258" t="str">
        <f>VLOOKUP( C121, 'Map &amp; Key'!$C$78:$D$98, 2, 0 )</f>
        <v>South Staffs Water</v>
      </c>
      <c r="L121" s="122" t="str">
        <f ca="1" xml:space="preserve"> _xlfn.IFNA( IF( OR( H121 = "-", D121 = "-" ), "-", IF( E121 = D121, 'Map &amp; Key'!$G$71, IF( E121 &gt; D121, 'Map &amp; Key'!$G$72, 'Map &amp; Key'!$G$70 ) ) ), "-" )</f>
        <v>◄►</v>
      </c>
      <c r="M121" s="262">
        <f t="shared" ca="1" si="4"/>
        <v>128.57</v>
      </c>
      <c r="N121" s="262">
        <f t="shared" ca="1" si="5"/>
        <v>128.31</v>
      </c>
      <c r="O121" s="123">
        <f xml:space="preserve"> VLOOKUP( C121, CALCS│Outcomes!$C$80:$L$96, MATCH( Year, CALCS│Outcomes!$C$2:$L$2, 0), 0 )</f>
        <v>128.56773141287647</v>
      </c>
    </row>
    <row r="122" spans="2:16" ht="16.149999999999999" customHeight="1" outlineLevel="1" x14ac:dyDescent="0.25">
      <c r="C122" s="174" t="s">
        <v>110</v>
      </c>
      <c r="D122" s="115">
        <f ca="1">'CALCS│Performance Commitments'!L49</f>
        <v>0</v>
      </c>
      <c r="E122" s="115">
        <f ca="1">'CALCS│Performance Commitments'!T49</f>
        <v>1</v>
      </c>
      <c r="F122" s="93">
        <f>'CALCS│Performance Commitments'!V49</f>
        <v>153.1</v>
      </c>
      <c r="G122" s="93" t="str">
        <f ca="1">'CALCS│Performance Commitments'!W49</f>
        <v>-</v>
      </c>
      <c r="H122" s="93">
        <f>'CALCS│Performance Commitments'!X49</f>
        <v>156.9</v>
      </c>
      <c r="I122" s="93" t="str">
        <f ca="1">'CALCS│Performance Commitments'!Y49</f>
        <v>-</v>
      </c>
      <c r="K122" s="258" t="str">
        <f>VLOOKUP( C122, 'Map &amp; Key'!$C$78:$D$98, 2, 0 )</f>
        <v>SES Water</v>
      </c>
      <c r="L122" s="122" t="str">
        <f ca="1" xml:space="preserve"> _xlfn.IFNA( IF( OR( H122 = "-", D122 = "-" ), "-", IF( E122 = D122, 'Map &amp; Key'!$G$71, IF( E122 &gt; D122, 'Map &amp; Key'!$G$72, 'Map &amp; Key'!$G$70 ) ) ), "-" )</f>
        <v>▲</v>
      </c>
      <c r="M122" s="262">
        <f t="shared" ca="1" si="4"/>
        <v>153.1</v>
      </c>
      <c r="N122" s="262">
        <f t="shared" ca="1" si="5"/>
        <v>156.9</v>
      </c>
      <c r="O122" s="123">
        <f xml:space="preserve"> VLOOKUP( C122, CALCS│Outcomes!$C$80:$L$96, MATCH( Year, CALCS│Outcomes!$C$2:$L$2, 0), 0 )</f>
        <v>153.09501907766804</v>
      </c>
    </row>
    <row r="123" spans="2:16" outlineLevel="1" x14ac:dyDescent="0.25"/>
    <row r="124" spans="2:16" outlineLevel="1" x14ac:dyDescent="0.25">
      <c r="N124" s="8" t="s">
        <v>615</v>
      </c>
      <c r="O124" s="82">
        <f>_xlfn.PERCENTILE.INC(O106:O122, 0.25)</f>
        <v>134.96443658575174</v>
      </c>
    </row>
    <row r="125" spans="2:16" outlineLevel="1" x14ac:dyDescent="0.25">
      <c r="N125" s="8" t="s">
        <v>616</v>
      </c>
      <c r="O125" s="82">
        <f>_xlfn.PERCENTILE.INC(O106:O122, 0.75)</f>
        <v>152.65384530719879</v>
      </c>
    </row>
    <row r="127" spans="2:16" ht="13.5" x14ac:dyDescent="0.35">
      <c r="B127" s="9" t="s">
        <v>224</v>
      </c>
      <c r="C127" s="9"/>
      <c r="D127" s="9"/>
      <c r="E127" s="10"/>
      <c r="F127" s="9"/>
      <c r="G127" s="9"/>
      <c r="H127" s="9"/>
      <c r="I127" s="9"/>
      <c r="J127" s="9"/>
      <c r="K127" s="9" t="s">
        <v>631</v>
      </c>
      <c r="L127" s="9"/>
      <c r="M127" s="9"/>
      <c r="N127" s="9"/>
      <c r="O127" s="9"/>
      <c r="P127" s="9"/>
    </row>
    <row r="128" spans="2:16" outlineLevel="1" x14ac:dyDescent="0.25"/>
    <row r="129" spans="2:16" ht="40.5" outlineLevel="1" x14ac:dyDescent="0.35">
      <c r="L129" s="419" t="s">
        <v>623</v>
      </c>
      <c r="M129" s="419"/>
      <c r="N129" s="419"/>
      <c r="O129" s="313" t="str">
        <f xml:space="preserve"> "Relative performance (" &amp; Year &amp; ")"</f>
        <v>Relative performance (2019-20)</v>
      </c>
    </row>
    <row r="130" spans="2:16" ht="54" outlineLevel="1" x14ac:dyDescent="0.25">
      <c r="C130" s="288" t="s">
        <v>223</v>
      </c>
      <c r="D130" s="322" t="str">
        <f xml:space="preserve"> "PCs met " &amp; Last_year</f>
        <v>PCs met 2018-19</v>
      </c>
      <c r="E130" s="322" t="str">
        <f xml:space="preserve"> "PCs met " &amp; Year</f>
        <v>PCs met 2019-20</v>
      </c>
      <c r="F130" s="322" t="str">
        <f xml:space="preserve"> Year &amp; " actual PC1"</f>
        <v>2019-20 actual PC1</v>
      </c>
      <c r="G130" s="322" t="str">
        <f xml:space="preserve"> Year &amp; " actual PC2"</f>
        <v>2019-20 actual PC2</v>
      </c>
      <c r="H130" s="322" t="str">
        <f xml:space="preserve"> Year &amp; " target PC1"</f>
        <v>2019-20 target PC1</v>
      </c>
      <c r="I130" s="322" t="str">
        <f xml:space="preserve"> Year &amp; " target PC2"</f>
        <v>2019-20 target PC2</v>
      </c>
      <c r="K130" s="246"/>
      <c r="L130" s="272" t="s">
        <v>624</v>
      </c>
      <c r="M130" s="272" t="s">
        <v>629</v>
      </c>
      <c r="N130" s="272" t="s">
        <v>630</v>
      </c>
      <c r="O130" s="272" t="s">
        <v>140</v>
      </c>
    </row>
    <row r="131" spans="2:16" s="79" customFormat="1" ht="16.149999999999999" customHeight="1" outlineLevel="1" x14ac:dyDescent="0.3">
      <c r="B131" s="283"/>
      <c r="C131" s="175" t="s">
        <v>80</v>
      </c>
      <c r="D131" s="115">
        <f ca="1">'CALCS│Performance Commitments'!L56</f>
        <v>1</v>
      </c>
      <c r="E131" s="115">
        <f ca="1">'CALCS│Performance Commitments'!T56</f>
        <v>0</v>
      </c>
      <c r="F131" s="93">
        <f>'CALCS│Performance Commitments'!V56</f>
        <v>18.649999999999999</v>
      </c>
      <c r="G131" s="93" t="str">
        <f ca="1">'CALCS│Performance Commitments'!W56</f>
        <v>-</v>
      </c>
      <c r="H131" s="93">
        <f>'CALCS│Performance Commitments'!X56</f>
        <v>12</v>
      </c>
      <c r="I131" s="93" t="str">
        <f ca="1">'CALCS│Performance Commitments'!Y56</f>
        <v>-</v>
      </c>
      <c r="J131" s="283"/>
      <c r="K131" s="258" t="str">
        <f>VLOOKUP( C131, 'Map &amp; Key'!$C$78:$D$98, 2, 0 )</f>
        <v>Anglian Water</v>
      </c>
      <c r="L131" s="122" t="str">
        <f ca="1" xml:space="preserve"> _xlfn.IFNA( IF( OR( H131 = "-", D131 = "-" ), "-", IF( E131 = D131, 'Map &amp; Key'!$G$71, IF( E131 &gt; D131, 'Map &amp; Key'!$G$72, 'Map &amp; Key'!$G$70 ) ) ), "-" )</f>
        <v>▼</v>
      </c>
      <c r="M131" s="262">
        <f ca="1" xml:space="preserve"> IF( OR( G131 = "-", I131 = "-" ), F131, TEXT( F131, "0.00" ) &amp; "; " &amp; TEXT( G131, "0.00" ) )</f>
        <v>18.649999999999999</v>
      </c>
      <c r="N131" s="262">
        <f ca="1" xml:space="preserve"> IF( OR( G131 = "-", I131 = "-" ), H131, TEXT( H131, "0.00" ) &amp; "; " &amp; TEXT( I131, "0.00" ) )</f>
        <v>12</v>
      </c>
      <c r="O131" s="123">
        <f xml:space="preserve"> VLOOKUP( C131, CALCS│Outcomes!$C$150:$L$166, MATCH( Year, CALCS│Outcomes!$C$2:$L$2, 0), 0 )</f>
        <v>18.649999999999999</v>
      </c>
      <c r="P131" s="283"/>
    </row>
    <row r="132" spans="2:16" s="79" customFormat="1" ht="16.149999999999999" customHeight="1" outlineLevel="1" x14ac:dyDescent="0.3">
      <c r="B132" s="283"/>
      <c r="C132" s="174" t="s">
        <v>82</v>
      </c>
      <c r="D132" s="115">
        <f ca="1">'CALCS│Performance Commitments'!L57</f>
        <v>0</v>
      </c>
      <c r="E132" s="115">
        <f ca="1">'CALCS│Performance Commitments'!T57</f>
        <v>0</v>
      </c>
      <c r="F132" s="93">
        <f>'CALCS│Performance Commitments'!V57</f>
        <v>14.7</v>
      </c>
      <c r="G132" s="93" t="str">
        <f ca="1">'CALCS│Performance Commitments'!W57</f>
        <v>-</v>
      </c>
      <c r="H132" s="93">
        <f>'CALCS│Performance Commitments'!X57</f>
        <v>12</v>
      </c>
      <c r="I132" s="93" t="str">
        <f ca="1">'CALCS│Performance Commitments'!Y57</f>
        <v>-</v>
      </c>
      <c r="J132" s="283"/>
      <c r="K132" s="258" t="str">
        <f>VLOOKUP( C132, 'Map &amp; Key'!$C$78:$D$98, 2, 0 )</f>
        <v>Dŵr Cymru</v>
      </c>
      <c r="L132" s="124" t="str">
        <f ca="1" xml:space="preserve"> _xlfn.IFNA( IF( OR( H132 = "-", D132 = "-" ), "-", IF( E132 = D132, 'Map &amp; Key'!$G$71, IF( E132 &gt; D132, 'Map &amp; Key'!$G$72, 'Map &amp; Key'!$G$70 ) ) ), "-" )</f>
        <v>◄►</v>
      </c>
      <c r="M132" s="262">
        <f t="shared" ref="M132:M147" ca="1" si="6" xml:space="preserve"> IF( OR( G132 = "-", I132 = "-" ), F132, TEXT( F132, "0.00" ) &amp; "; " &amp; TEXT( G132, "0.00" ) )</f>
        <v>14.7</v>
      </c>
      <c r="N132" s="262">
        <f t="shared" ref="N132:N147" ca="1" si="7" xml:space="preserve"> IF( OR( G132 = "-", I132 = "-" ), H132, TEXT( H132, "0.00" ) &amp; "; " &amp; TEXT( I132, "0.00" ) )</f>
        <v>12</v>
      </c>
      <c r="O132" s="123">
        <f xml:space="preserve"> VLOOKUP( C132, CALCS│Outcomes!$C$150:$L$166, MATCH( Year, CALCS│Outcomes!$C$2:$L$2, 0), 0 )</f>
        <v>14.7</v>
      </c>
      <c r="P132" s="283"/>
    </row>
    <row r="133" spans="2:16" s="79" customFormat="1" ht="16.149999999999999" customHeight="1" outlineLevel="1" x14ac:dyDescent="0.3">
      <c r="B133" s="283"/>
      <c r="C133" s="174" t="s">
        <v>85</v>
      </c>
      <c r="D133" s="115">
        <f ca="1">'CALCS│Performance Commitments'!L58</f>
        <v>0.5</v>
      </c>
      <c r="E133" s="115">
        <f ca="1">'CALCS│Performance Commitments'!T58</f>
        <v>0.5</v>
      </c>
      <c r="F133" s="93">
        <f>'CALCS│Performance Commitments'!V58</f>
        <v>11.4</v>
      </c>
      <c r="G133" s="93">
        <f ca="1">'CALCS│Performance Commitments'!W58</f>
        <v>31.6</v>
      </c>
      <c r="H133" s="93">
        <f>'CALCS│Performance Commitments'!X58</f>
        <v>12</v>
      </c>
      <c r="I133" s="93">
        <f ca="1">'CALCS│Performance Commitments'!Y58</f>
        <v>8</v>
      </c>
      <c r="J133" s="283"/>
      <c r="K133" s="258" t="str">
        <f>VLOOKUP( C133, 'Map &amp; Key'!$C$78:$D$98, 2, 0 )</f>
        <v>Hafren Dyfrdwy</v>
      </c>
      <c r="L133" s="124" t="str">
        <f ca="1" xml:space="preserve"> _xlfn.IFNA( IF( OR( H133 = "-", D133 = "-" ), "-", IF( E133 = D133, 'Map &amp; Key'!$G$71, IF( E133 &gt; D133, 'Map &amp; Key'!$G$72, 'Map &amp; Key'!$G$70 ) ) ), "-" )</f>
        <v>◄►</v>
      </c>
      <c r="M133" s="262" t="str">
        <f t="shared" ca="1" si="6"/>
        <v>11.40; 31.60</v>
      </c>
      <c r="N133" s="262" t="str">
        <f t="shared" ca="1" si="7"/>
        <v>12.00; 8.00</v>
      </c>
      <c r="O133" s="123">
        <f xml:space="preserve"> VLOOKUP( C133, CALCS│Outcomes!$C$150:$L$166, MATCH( Year, CALCS│Outcomes!$C$2:$L$2, 0), 0 )</f>
        <v>16.89</v>
      </c>
      <c r="P133" s="283"/>
    </row>
    <row r="134" spans="2:16" s="79" customFormat="1" ht="16.149999999999999" customHeight="1" outlineLevel="1" x14ac:dyDescent="0.3">
      <c r="B134" s="283"/>
      <c r="C134" s="174" t="s">
        <v>87</v>
      </c>
      <c r="D134" s="115">
        <f ca="1">'CALCS│Performance Commitments'!L59</f>
        <v>0</v>
      </c>
      <c r="E134" s="115">
        <f ca="1">'CALCS│Performance Commitments'!T59</f>
        <v>0</v>
      </c>
      <c r="F134" s="93">
        <f>'CALCS│Performance Commitments'!V59</f>
        <v>6.1333333333333346</v>
      </c>
      <c r="G134" s="93" t="str">
        <f ca="1">'CALCS│Performance Commitments'!W59</f>
        <v>-</v>
      </c>
      <c r="H134" s="93">
        <f>'CALCS│Performance Commitments'!X59</f>
        <v>5</v>
      </c>
      <c r="I134" s="93" t="str">
        <f ca="1">'CALCS│Performance Commitments'!Y59</f>
        <v>-</v>
      </c>
      <c r="J134" s="283"/>
      <c r="K134" s="258" t="str">
        <f>VLOOKUP( C134, 'Map &amp; Key'!$C$78:$D$98, 2, 0 )</f>
        <v>Northumbrian Water</v>
      </c>
      <c r="L134" s="124" t="str">
        <f ca="1" xml:space="preserve"> _xlfn.IFNA( IF( OR( H134 = "-", D134 = "-" ), "-", IF( E134 = D134, 'Map &amp; Key'!$G$71, IF( E134 &gt; D134, 'Map &amp; Key'!$G$72, 'Map &amp; Key'!$G$70 ) ) ), "-" )</f>
        <v>◄►</v>
      </c>
      <c r="M134" s="262">
        <f t="shared" ca="1" si="6"/>
        <v>6.1333333333333346</v>
      </c>
      <c r="N134" s="262">
        <f t="shared" ca="1" si="7"/>
        <v>5</v>
      </c>
      <c r="O134" s="123">
        <f xml:space="preserve"> VLOOKUP( C134, CALCS│Outcomes!$C$150:$L$166, MATCH( Year, CALCS│Outcomes!$C$2:$L$2, 0), 0 )</f>
        <v>6.1333333333333346</v>
      </c>
      <c r="P134" s="283"/>
    </row>
    <row r="135" spans="2:16" s="79" customFormat="1" ht="16.149999999999999" customHeight="1" outlineLevel="1" x14ac:dyDescent="0.3">
      <c r="B135" s="283"/>
      <c r="C135" s="174" t="s">
        <v>89</v>
      </c>
      <c r="D135" s="115">
        <f ca="1">'CALCS│Performance Commitments'!L60</f>
        <v>0.5</v>
      </c>
      <c r="E135" s="115">
        <f ca="1">'CALCS│Performance Commitments'!T60</f>
        <v>1</v>
      </c>
      <c r="F135" s="93">
        <f>'CALCS│Performance Commitments'!V60</f>
        <v>7.3</v>
      </c>
      <c r="G135" s="93">
        <f ca="1">'CALCS│Performance Commitments'!W60</f>
        <v>3.5999999999999996</v>
      </c>
      <c r="H135" s="93">
        <f>'CALCS│Performance Commitments'!X60</f>
        <v>8</v>
      </c>
      <c r="I135" s="93">
        <f ca="1">'CALCS│Performance Commitments'!Y60</f>
        <v>12</v>
      </c>
      <c r="J135" s="283"/>
      <c r="K135" s="258" t="str">
        <f>VLOOKUP( C135, 'Map &amp; Key'!$C$78:$D$98, 2, 0 )</f>
        <v>Severn Trent Water</v>
      </c>
      <c r="L135" s="124" t="str">
        <f ca="1" xml:space="preserve"> _xlfn.IFNA( IF( OR( H135 = "-", D135 = "-" ), "-", IF( E135 = D135, 'Map &amp; Key'!$G$71, IF( E135 &gt; D135, 'Map &amp; Key'!$G$72, 'Map &amp; Key'!$G$70 ) ) ), "-" )</f>
        <v>▲</v>
      </c>
      <c r="M135" s="262" t="str">
        <f t="shared" ca="1" si="6"/>
        <v>7.30; 3.60</v>
      </c>
      <c r="N135" s="262" t="str">
        <f t="shared" ca="1" si="7"/>
        <v>8.00; 12.00</v>
      </c>
      <c r="O135" s="123">
        <f xml:space="preserve"> VLOOKUP( C135, CALCS│Outcomes!$C$150:$L$166, MATCH( Year, CALCS│Outcomes!$C$2:$L$2, 0), 0 )</f>
        <v>7.25</v>
      </c>
      <c r="P135" s="283"/>
    </row>
    <row r="136" spans="2:16" s="79" customFormat="1" ht="16.149999999999999" customHeight="1" outlineLevel="1" x14ac:dyDescent="0.3">
      <c r="B136" s="283"/>
      <c r="C136" s="176" t="s">
        <v>91</v>
      </c>
      <c r="D136" s="115">
        <f ca="1">'CALCS│Performance Commitments'!L61</f>
        <v>1</v>
      </c>
      <c r="E136" s="115">
        <f ca="1">'CALCS│Performance Commitments'!T61</f>
        <v>1</v>
      </c>
      <c r="F136" s="93">
        <f>'CALCS│Performance Commitments'!V61</f>
        <v>11.4</v>
      </c>
      <c r="G136" s="93">
        <f>'CALCS│Performance Commitments'!W61</f>
        <v>3.2</v>
      </c>
      <c r="H136" s="93">
        <f>'CALCS│Performance Commitments'!X61</f>
        <v>12</v>
      </c>
      <c r="I136" s="93">
        <f>'CALCS│Performance Commitments'!Y61</f>
        <v>4.4000000000000004</v>
      </c>
      <c r="J136" s="283"/>
      <c r="K136" s="258" t="str">
        <f>VLOOKUP( C136, 'Map &amp; Key'!$C$78:$D$98, 2, 0 )</f>
        <v>South West Water</v>
      </c>
      <c r="L136" s="124" t="str">
        <f ca="1" xml:space="preserve"> _xlfn.IFNA( IF( OR( H136 = "-", D136 = "-" ), "-", IF( E136 = D136, 'Map &amp; Key'!$G$71, IF( E136 &gt; D136, 'Map &amp; Key'!$G$72, 'Map &amp; Key'!$G$70 ) ) ), "-" )</f>
        <v>◄►</v>
      </c>
      <c r="M136" s="262" t="str">
        <f t="shared" si="6"/>
        <v>11.40; 3.20</v>
      </c>
      <c r="N136" s="262" t="str">
        <f t="shared" si="7"/>
        <v>12.00; 4.40</v>
      </c>
      <c r="O136" s="123">
        <f xml:space="preserve"> VLOOKUP( C136, CALCS│Outcomes!$C$150:$L$166, MATCH( Year, CALCS│Outcomes!$C$2:$L$2, 0), 0 )</f>
        <v>9.7826519763273545</v>
      </c>
      <c r="P136" s="283"/>
    </row>
    <row r="137" spans="2:16" s="79" customFormat="1" ht="16.149999999999999" customHeight="1" outlineLevel="1" x14ac:dyDescent="0.3">
      <c r="B137" s="283"/>
      <c r="C137" s="174" t="s">
        <v>94</v>
      </c>
      <c r="D137" s="115">
        <f ca="1">'CALCS│Performance Commitments'!L62</f>
        <v>1</v>
      </c>
      <c r="E137" s="115">
        <f ca="1">'CALCS│Performance Commitments'!T62</f>
        <v>0</v>
      </c>
      <c r="F137" s="93">
        <f>'CALCS│Performance Commitments'!V62</f>
        <v>11.27</v>
      </c>
      <c r="G137" s="93" t="str">
        <f ca="1">'CALCS│Performance Commitments'!W62</f>
        <v>-</v>
      </c>
      <c r="H137" s="93">
        <f>'CALCS│Performance Commitments'!X62</f>
        <v>9</v>
      </c>
      <c r="I137" s="93" t="str">
        <f ca="1">'CALCS│Performance Commitments'!Y62</f>
        <v>-</v>
      </c>
      <c r="J137" s="283"/>
      <c r="K137" s="258" t="str">
        <f>VLOOKUP( C137, 'Map &amp; Key'!$C$78:$D$98, 2, 0 )</f>
        <v>Southern Water</v>
      </c>
      <c r="L137" s="124" t="str">
        <f ca="1" xml:space="preserve"> _xlfn.IFNA( IF( OR( H137 = "-", D137 = "-" ), "-", IF( E137 = D137, 'Map &amp; Key'!$G$71, IF( E137 &gt; D137, 'Map &amp; Key'!$G$72, 'Map &amp; Key'!$G$70 ) ) ), "-" )</f>
        <v>▼</v>
      </c>
      <c r="M137" s="262">
        <f t="shared" ca="1" si="6"/>
        <v>11.27</v>
      </c>
      <c r="N137" s="262">
        <f t="shared" ca="1" si="7"/>
        <v>9</v>
      </c>
      <c r="O137" s="123">
        <f xml:space="preserve"> VLOOKUP( C137, CALCS│Outcomes!$C$150:$L$166, MATCH( Year, CALCS│Outcomes!$C$2:$L$2, 0), 0 )</f>
        <v>11.27</v>
      </c>
      <c r="P137" s="283"/>
    </row>
    <row r="138" spans="2:16" s="79" customFormat="1" ht="16.149999999999999" customHeight="1" outlineLevel="1" x14ac:dyDescent="0.3">
      <c r="B138" s="283"/>
      <c r="C138" s="174" t="s">
        <v>96</v>
      </c>
      <c r="D138" s="115">
        <f ca="1">'CALCS│Performance Commitments'!L63</f>
        <v>0</v>
      </c>
      <c r="E138" s="115">
        <f ca="1">'CALCS│Performance Commitments'!T63</f>
        <v>1</v>
      </c>
      <c r="F138" s="93">
        <f>'CALCS│Performance Commitments'!V63</f>
        <v>7.1999999999999993</v>
      </c>
      <c r="G138" s="93" t="str">
        <f ca="1">'CALCS│Performance Commitments'!W63</f>
        <v>-</v>
      </c>
      <c r="H138" s="93">
        <f>'CALCS│Performance Commitments'!X63</f>
        <v>7.8000000000000007</v>
      </c>
      <c r="I138" s="93" t="str">
        <f ca="1">'CALCS│Performance Commitments'!Y63</f>
        <v>-</v>
      </c>
      <c r="J138" s="283"/>
      <c r="K138" s="258" t="str">
        <f>VLOOKUP( C138, 'Map &amp; Key'!$C$78:$D$98, 2, 0 )</f>
        <v>Thames Water</v>
      </c>
      <c r="L138" s="124" t="str">
        <f ca="1" xml:space="preserve"> _xlfn.IFNA( IF( OR( H138 = "-", D138 = "-" ), "-", IF( E138 = D138, 'Map &amp; Key'!$G$71, IF( E138 &gt; D138, 'Map &amp; Key'!$G$72, 'Map &amp; Key'!$G$70 ) ) ), "-" )</f>
        <v>▲</v>
      </c>
      <c r="M138" s="262">
        <f t="shared" ca="1" si="6"/>
        <v>7.1999999999999993</v>
      </c>
      <c r="N138" s="262">
        <f t="shared" ca="1" si="7"/>
        <v>7.8000000000000007</v>
      </c>
      <c r="O138" s="123">
        <f xml:space="preserve"> VLOOKUP( C138, CALCS│Outcomes!$C$150:$L$166, MATCH( Year, CALCS│Outcomes!$C$2:$L$2, 0), 0 )</f>
        <v>22.049999999999997</v>
      </c>
      <c r="P138" s="283"/>
    </row>
    <row r="139" spans="2:16" s="79" customFormat="1" ht="16.149999999999999" customHeight="1" outlineLevel="1" x14ac:dyDescent="0.3">
      <c r="B139" s="283"/>
      <c r="C139" s="174" t="s">
        <v>98</v>
      </c>
      <c r="D139" s="115">
        <f ca="1">'CALCS│Performance Commitments'!L64</f>
        <v>1</v>
      </c>
      <c r="E139" s="115">
        <f ca="1">'CALCS│Performance Commitments'!T64</f>
        <v>1</v>
      </c>
      <c r="F139" s="93">
        <f>'CALCS│Performance Commitments'!V64</f>
        <v>10.183333333333334</v>
      </c>
      <c r="G139" s="93" t="str">
        <f ca="1">'CALCS│Performance Commitments'!W64</f>
        <v>-</v>
      </c>
      <c r="H139" s="93">
        <f>'CALCS│Performance Commitments'!X64</f>
        <v>12</v>
      </c>
      <c r="I139" s="93" t="str">
        <f ca="1">'CALCS│Performance Commitments'!Y64</f>
        <v>-</v>
      </c>
      <c r="J139" s="283"/>
      <c r="K139" s="258" t="str">
        <f>VLOOKUP( C139, 'Map &amp; Key'!$C$78:$D$98, 2, 0 )</f>
        <v>United Utilities</v>
      </c>
      <c r="L139" s="124" t="str">
        <f ca="1" xml:space="preserve"> _xlfn.IFNA( IF( OR( H139 = "-", D139 = "-" ), "-", IF( E139 = D139, 'Map &amp; Key'!$G$71, IF( E139 &gt; D139, 'Map &amp; Key'!$G$72, 'Map &amp; Key'!$G$70 ) ) ), "-" )</f>
        <v>◄►</v>
      </c>
      <c r="M139" s="262">
        <f t="shared" ca="1" si="6"/>
        <v>10.183333333333334</v>
      </c>
      <c r="N139" s="262">
        <f t="shared" ca="1" si="7"/>
        <v>12</v>
      </c>
      <c r="O139" s="123">
        <f xml:space="preserve"> VLOOKUP( C139, CALCS│Outcomes!$C$150:$L$166, MATCH( Year, CALCS│Outcomes!$C$2:$L$2, 0), 0 )</f>
        <v>10.183333333333334</v>
      </c>
      <c r="P139" s="283"/>
    </row>
    <row r="140" spans="2:16" s="79" customFormat="1" ht="16.149999999999999" customHeight="1" outlineLevel="1" x14ac:dyDescent="0.3">
      <c r="B140" s="283"/>
      <c r="C140" s="174" t="s">
        <v>100</v>
      </c>
      <c r="D140" s="115">
        <f ca="1">'CALCS│Performance Commitments'!L65</f>
        <v>1</v>
      </c>
      <c r="E140" s="115">
        <f ca="1">'CALCS│Performance Commitments'!T65</f>
        <v>1</v>
      </c>
      <c r="F140" s="93">
        <f>'CALCS│Performance Commitments'!V65</f>
        <v>7.6</v>
      </c>
      <c r="G140" s="93" t="str">
        <f ca="1">'CALCS│Performance Commitments'!W65</f>
        <v>-</v>
      </c>
      <c r="H140" s="93">
        <f>'CALCS│Performance Commitments'!X65</f>
        <v>12</v>
      </c>
      <c r="I140" s="93" t="str">
        <f ca="1">'CALCS│Performance Commitments'!Y65</f>
        <v>-</v>
      </c>
      <c r="J140" s="283"/>
      <c r="K140" s="258" t="str">
        <f>VLOOKUP( C140, 'Map &amp; Key'!$C$78:$D$98, 2, 0 )</f>
        <v>Wessex Water</v>
      </c>
      <c r="L140" s="124" t="str">
        <f ca="1" xml:space="preserve"> _xlfn.IFNA( IF( OR( H140 = "-", D140 = "-" ), "-", IF( E140 = D140, 'Map &amp; Key'!$G$71, IF( E140 &gt; D140, 'Map &amp; Key'!$G$72, 'Map &amp; Key'!$G$70 ) ) ), "-" )</f>
        <v>◄►</v>
      </c>
      <c r="M140" s="262">
        <f t="shared" ca="1" si="6"/>
        <v>7.6</v>
      </c>
      <c r="N140" s="262">
        <f t="shared" ca="1" si="7"/>
        <v>12</v>
      </c>
      <c r="O140" s="123">
        <f xml:space="preserve"> VLOOKUP( C140, CALCS│Outcomes!$C$150:$L$166, MATCH( Year, CALCS│Outcomes!$C$2:$L$2, 0), 0 )</f>
        <v>7.6</v>
      </c>
      <c r="P140" s="283"/>
    </row>
    <row r="141" spans="2:16" s="79" customFormat="1" ht="16.149999999999999" customHeight="1" outlineLevel="1" x14ac:dyDescent="0.3">
      <c r="B141" s="283"/>
      <c r="C141" s="174" t="s">
        <v>102</v>
      </c>
      <c r="D141" s="115">
        <f ca="1">'CALCS│Performance Commitments'!L66</f>
        <v>1</v>
      </c>
      <c r="E141" s="115">
        <f ca="1">'CALCS│Performance Commitments'!T66</f>
        <v>1</v>
      </c>
      <c r="F141" s="93">
        <f>'CALCS│Performance Commitments'!V66</f>
        <v>7.56</v>
      </c>
      <c r="G141" s="93" t="str">
        <f ca="1">'CALCS│Performance Commitments'!W66</f>
        <v>-</v>
      </c>
      <c r="H141" s="93">
        <f>'CALCS│Performance Commitments'!X66</f>
        <v>12</v>
      </c>
      <c r="I141" s="93" t="str">
        <f ca="1">'CALCS│Performance Commitments'!Y66</f>
        <v>-</v>
      </c>
      <c r="J141" s="283"/>
      <c r="K141" s="258" t="str">
        <f>VLOOKUP( C141, 'Map &amp; Key'!$C$78:$D$98, 2, 0 )</f>
        <v>Yorkshire Water</v>
      </c>
      <c r="L141" s="124" t="str">
        <f ca="1" xml:space="preserve"> _xlfn.IFNA( IF( OR( H141 = "-", D141 = "-" ), "-", IF( E141 = D141, 'Map &amp; Key'!$G$71, IF( E141 &gt; D141, 'Map &amp; Key'!$G$72, 'Map &amp; Key'!$G$70 ) ) ), "-" )</f>
        <v>◄►</v>
      </c>
      <c r="M141" s="262">
        <f t="shared" ca="1" si="6"/>
        <v>7.56</v>
      </c>
      <c r="N141" s="262">
        <f t="shared" ca="1" si="7"/>
        <v>12</v>
      </c>
      <c r="O141" s="123">
        <f xml:space="preserve"> VLOOKUP( C141, CALCS│Outcomes!$C$150:$L$166, MATCH( Year, CALCS│Outcomes!$C$2:$L$2, 0), 0 )</f>
        <v>7.56</v>
      </c>
      <c r="P141" s="283"/>
    </row>
    <row r="142" spans="2:16" s="79" customFormat="1" ht="16.149999999999999" customHeight="1" outlineLevel="1" x14ac:dyDescent="0.3">
      <c r="B142" s="283"/>
      <c r="C142" s="174" t="s">
        <v>104</v>
      </c>
      <c r="D142" s="115" t="str">
        <f>'CALCS│Performance Commitments'!L67</f>
        <v>-</v>
      </c>
      <c r="E142" s="115" t="str">
        <f>'CALCS│Performance Commitments'!T67</f>
        <v>-</v>
      </c>
      <c r="F142" s="93" t="str">
        <f>'CALCS│Performance Commitments'!V67</f>
        <v>-</v>
      </c>
      <c r="G142" s="93" t="str">
        <f ca="1">'CALCS│Performance Commitments'!W67</f>
        <v>-</v>
      </c>
      <c r="H142" s="93" t="str">
        <f>'CALCS│Performance Commitments'!X67</f>
        <v>-</v>
      </c>
      <c r="I142" s="93" t="str">
        <f ca="1">'CALCS│Performance Commitments'!Y67</f>
        <v>-</v>
      </c>
      <c r="J142" s="283"/>
      <c r="K142" s="258" t="str">
        <f>VLOOKUP( C142, 'Map &amp; Key'!$C$78:$D$98, 2, 0 )</f>
        <v>Affinity Water</v>
      </c>
      <c r="L142" s="124" t="str">
        <f xml:space="preserve"> _xlfn.IFNA( IF( OR( H142 = "-", D142 = "-" ), "-", IF( E142 = D142, 'Map &amp; Key'!$G$71, IF( E142 &gt; D142, 'Map &amp; Key'!$G$72, 'Map &amp; Key'!$G$70 ) ) ), "-" )</f>
        <v>-</v>
      </c>
      <c r="M142" s="262" t="str">
        <f t="shared" ca="1" si="6"/>
        <v>-</v>
      </c>
      <c r="N142" s="262" t="str">
        <f t="shared" ca="1" si="7"/>
        <v>-</v>
      </c>
      <c r="O142" s="123">
        <f xml:space="preserve"> VLOOKUP( C142, CALCS│Outcomes!$C$150:$L$166, MATCH( Year, CALCS│Outcomes!$C$2:$L$2, 0), 0 )</f>
        <v>13.6</v>
      </c>
      <c r="P142" s="283"/>
    </row>
    <row r="143" spans="2:16" s="79" customFormat="1" ht="16.149999999999999" customHeight="1" outlineLevel="1" x14ac:dyDescent="0.3">
      <c r="B143" s="283"/>
      <c r="C143" s="174" t="s">
        <v>106</v>
      </c>
      <c r="D143" s="115">
        <f ca="1">'CALCS│Performance Commitments'!L68</f>
        <v>0</v>
      </c>
      <c r="E143" s="115">
        <f ca="1">'CALCS│Performance Commitments'!T68</f>
        <v>1</v>
      </c>
      <c r="F143" s="93">
        <f>'CALCS│Performance Commitments'!V68</f>
        <v>11.1</v>
      </c>
      <c r="G143" s="93" t="str">
        <f ca="1">'CALCS│Performance Commitments'!W68</f>
        <v>-</v>
      </c>
      <c r="H143" s="93">
        <f>'CALCS│Performance Commitments'!X68</f>
        <v>12.2</v>
      </c>
      <c r="I143" s="93" t="str">
        <f ca="1">'CALCS│Performance Commitments'!Y68</f>
        <v>-</v>
      </c>
      <c r="J143" s="283"/>
      <c r="K143" s="258" t="str">
        <f>VLOOKUP( C143, 'Map &amp; Key'!$C$78:$D$98, 2, 0 )</f>
        <v>Bristol Water</v>
      </c>
      <c r="L143" s="124" t="str">
        <f ca="1" xml:space="preserve"> _xlfn.IFNA( IF( OR( H143 = "-", D143 = "-" ), "-", IF( E143 = D143, 'Map &amp; Key'!$G$71, IF( E143 &gt; D143, 'Map &amp; Key'!$G$72, 'Map &amp; Key'!$G$70 ) ) ), "-" )</f>
        <v>▲</v>
      </c>
      <c r="M143" s="262">
        <f t="shared" ca="1" si="6"/>
        <v>11.1</v>
      </c>
      <c r="N143" s="262">
        <f t="shared" ca="1" si="7"/>
        <v>12.2</v>
      </c>
      <c r="O143" s="123">
        <f xml:space="preserve"> VLOOKUP( C143, CALCS│Outcomes!$C$150:$L$166, MATCH( Year, CALCS│Outcomes!$C$2:$L$2, 0), 0 )</f>
        <v>9.2833333333333332</v>
      </c>
      <c r="P143" s="283"/>
    </row>
    <row r="144" spans="2:16" s="79" customFormat="1" ht="16.149999999999999" customHeight="1" outlineLevel="1" x14ac:dyDescent="0.3">
      <c r="B144" s="283"/>
      <c r="C144" s="174" t="s">
        <v>108</v>
      </c>
      <c r="D144" s="115">
        <f ca="1">'CALCS│Performance Commitments'!L69</f>
        <v>1</v>
      </c>
      <c r="E144" s="115">
        <f ca="1">'CALCS│Performance Commitments'!T69</f>
        <v>1</v>
      </c>
      <c r="F144" s="93">
        <f>'CALCS│Performance Commitments'!V69</f>
        <v>3.3666666666666667</v>
      </c>
      <c r="G144" s="93" t="str">
        <f ca="1">'CALCS│Performance Commitments'!W69</f>
        <v>-</v>
      </c>
      <c r="H144" s="93">
        <f>'CALCS│Performance Commitments'!X69</f>
        <v>5</v>
      </c>
      <c r="I144" s="93" t="str">
        <f ca="1">'CALCS│Performance Commitments'!Y69</f>
        <v>-</v>
      </c>
      <c r="J144" s="283"/>
      <c r="K144" s="258" t="str">
        <f>VLOOKUP( C144, 'Map &amp; Key'!$C$78:$D$98, 2, 0 )</f>
        <v>Portsmouth Water</v>
      </c>
      <c r="L144" s="124" t="str">
        <f ca="1" xml:space="preserve"> _xlfn.IFNA( IF( OR( H144 = "-", D144 = "-" ), "-", IF( E144 = D144, 'Map &amp; Key'!$G$71, IF( E144 &gt; D144, 'Map &amp; Key'!$G$72, 'Map &amp; Key'!$G$70 ) ) ), "-" )</f>
        <v>◄►</v>
      </c>
      <c r="M144" s="262">
        <f t="shared" ca="1" si="6"/>
        <v>3.3666666666666667</v>
      </c>
      <c r="N144" s="262">
        <f t="shared" ca="1" si="7"/>
        <v>5</v>
      </c>
      <c r="O144" s="123">
        <f xml:space="preserve"> VLOOKUP( C144, CALCS│Outcomes!$C$150:$L$166, MATCH( Year, CALCS│Outcomes!$C$2:$L$2, 0), 0 )</f>
        <v>3.3666666666666667</v>
      </c>
      <c r="P144" s="283"/>
    </row>
    <row r="145" spans="2:16" s="79" customFormat="1" ht="16.149999999999999" customHeight="1" outlineLevel="1" x14ac:dyDescent="0.3">
      <c r="B145" s="283"/>
      <c r="C145" s="174" t="s">
        <v>112</v>
      </c>
      <c r="D145" s="115">
        <f ca="1">'CALCS│Performance Commitments'!L70</f>
        <v>0</v>
      </c>
      <c r="E145" s="115">
        <f ca="1">'CALCS│Performance Commitments'!T70</f>
        <v>1</v>
      </c>
      <c r="F145" s="93">
        <f>'CALCS│Performance Commitments'!V70</f>
        <v>10</v>
      </c>
      <c r="G145" s="93" t="str">
        <f ca="1">'CALCS│Performance Commitments'!W70</f>
        <v>-</v>
      </c>
      <c r="H145" s="93">
        <f>'CALCS│Performance Commitments'!X70</f>
        <v>12</v>
      </c>
      <c r="I145" s="93" t="str">
        <f ca="1">'CALCS│Performance Commitments'!Y70</f>
        <v>-</v>
      </c>
      <c r="J145" s="283"/>
      <c r="K145" s="258" t="str">
        <f>VLOOKUP( C145, 'Map &amp; Key'!$C$78:$D$98, 2, 0 )</f>
        <v>South East Water</v>
      </c>
      <c r="L145" s="124" t="str">
        <f ca="1" xml:space="preserve"> _xlfn.IFNA( IF( OR( H145 = "-", D145 = "-" ), "-", IF( E145 = D145, 'Map &amp; Key'!$G$71, IF( E145 &gt; D145, 'Map &amp; Key'!$G$72, 'Map &amp; Key'!$G$70 ) ) ), "-" )</f>
        <v>▲</v>
      </c>
      <c r="M145" s="262">
        <f t="shared" ca="1" si="6"/>
        <v>10</v>
      </c>
      <c r="N145" s="262">
        <f t="shared" ca="1" si="7"/>
        <v>12</v>
      </c>
      <c r="O145" s="123">
        <f xml:space="preserve"> VLOOKUP( C145, CALCS│Outcomes!$C$150:$L$166, MATCH( Year, CALCS│Outcomes!$C$2:$L$2, 0), 0 )</f>
        <v>10</v>
      </c>
      <c r="P145" s="283"/>
    </row>
    <row r="146" spans="2:16" s="79" customFormat="1" ht="16.149999999999999" customHeight="1" outlineLevel="1" x14ac:dyDescent="0.3">
      <c r="B146" s="283"/>
      <c r="C146" s="174" t="s">
        <v>114</v>
      </c>
      <c r="D146" s="115">
        <f ca="1">'CALCS│Performance Commitments'!L71</f>
        <v>1</v>
      </c>
      <c r="E146" s="115">
        <f ca="1">'CALCS│Performance Commitments'!T71</f>
        <v>1</v>
      </c>
      <c r="F146" s="93">
        <f>'CALCS│Performance Commitments'!V71</f>
        <v>3.35</v>
      </c>
      <c r="G146" s="93" t="str">
        <f ca="1">'CALCS│Performance Commitments'!W71</f>
        <v>-</v>
      </c>
      <c r="H146" s="93">
        <f>'CALCS│Performance Commitments'!X71</f>
        <v>10</v>
      </c>
      <c r="I146" s="93" t="str">
        <f ca="1">'CALCS│Performance Commitments'!Y71</f>
        <v>-</v>
      </c>
      <c r="J146" s="283"/>
      <c r="K146" s="258" t="str">
        <f>VLOOKUP( C146, 'Map &amp; Key'!$C$78:$D$98, 2, 0 )</f>
        <v>South Staffs Water</v>
      </c>
      <c r="L146" s="124" t="str">
        <f ca="1" xml:space="preserve"> _xlfn.IFNA( IF( OR( H146 = "-", D146 = "-" ), "-", IF( E146 = D146, 'Map &amp; Key'!$G$71, IF( E146 &gt; D146, 'Map &amp; Key'!$G$72, 'Map &amp; Key'!$G$70 ) ) ), "-" )</f>
        <v>◄►</v>
      </c>
      <c r="M146" s="262">
        <f t="shared" ca="1" si="6"/>
        <v>3.35</v>
      </c>
      <c r="N146" s="262">
        <f t="shared" ca="1" si="7"/>
        <v>10</v>
      </c>
      <c r="O146" s="123">
        <f xml:space="preserve"> VLOOKUP( C146, CALCS│Outcomes!$C$150:$L$166, MATCH( Year, CALCS│Outcomes!$C$2:$L$2, 0), 0 )</f>
        <v>3.35</v>
      </c>
      <c r="P146" s="283"/>
    </row>
    <row r="147" spans="2:16" s="79" customFormat="1" ht="16.149999999999999" customHeight="1" outlineLevel="1" x14ac:dyDescent="0.3">
      <c r="B147" s="283"/>
      <c r="C147" s="174" t="s">
        <v>110</v>
      </c>
      <c r="D147" s="115">
        <f ca="1">'CALCS│Performance Commitments'!L72</f>
        <v>0</v>
      </c>
      <c r="E147" s="115">
        <f ca="1">'CALCS│Performance Commitments'!T72</f>
        <v>1</v>
      </c>
      <c r="F147" s="93">
        <f>'CALCS│Performance Commitments'!V72</f>
        <v>1.2</v>
      </c>
      <c r="G147" s="93" t="str">
        <f ca="1">'CALCS│Performance Commitments'!W72</f>
        <v>-</v>
      </c>
      <c r="H147" s="93">
        <f>'CALCS│Performance Commitments'!X72</f>
        <v>12</v>
      </c>
      <c r="I147" s="93" t="str">
        <f ca="1">'CALCS│Performance Commitments'!Y72</f>
        <v>-</v>
      </c>
      <c r="J147" s="283"/>
      <c r="K147" s="258" t="str">
        <f>VLOOKUP( C147, 'Map &amp; Key'!$C$78:$D$98, 2, 0 )</f>
        <v>SES Water</v>
      </c>
      <c r="L147" s="124" t="str">
        <f ca="1" xml:space="preserve"> _xlfn.IFNA( IF( OR( H147 = "-", D147 = "-" ), "-", IF( E147 = D147, 'Map &amp; Key'!$G$71, IF( E147 &gt; D147, 'Map &amp; Key'!$G$72, 'Map &amp; Key'!$G$70 ) ) ), "-" )</f>
        <v>▲</v>
      </c>
      <c r="M147" s="262">
        <f t="shared" ca="1" si="6"/>
        <v>1.2</v>
      </c>
      <c r="N147" s="262">
        <f t="shared" ca="1" si="7"/>
        <v>12</v>
      </c>
      <c r="O147" s="123">
        <f xml:space="preserve"> VLOOKUP( C147, CALCS│Outcomes!$C$150:$L$166, MATCH( Year, CALCS│Outcomes!$C$2:$L$2, 0), 0 )</f>
        <v>1.2</v>
      </c>
      <c r="P147" s="283"/>
    </row>
    <row r="148" spans="2:16" outlineLevel="1" x14ac:dyDescent="0.25"/>
    <row r="149" spans="2:16" outlineLevel="1" x14ac:dyDescent="0.25">
      <c r="N149" s="8" t="s">
        <v>615</v>
      </c>
      <c r="O149" s="82">
        <f>_xlfn.PERCENTILE.INC(O131:O147, 0.25)</f>
        <v>7.25</v>
      </c>
    </row>
    <row r="150" spans="2:16" outlineLevel="1" x14ac:dyDescent="0.25">
      <c r="N150" s="8" t="s">
        <v>616</v>
      </c>
      <c r="O150" s="82">
        <f>_xlfn.PERCENTILE.INC(O131:O147, 0.75)</f>
        <v>13.6</v>
      </c>
    </row>
    <row r="152" spans="2:16" ht="13.5" x14ac:dyDescent="0.35">
      <c r="B152" s="9" t="s">
        <v>165</v>
      </c>
      <c r="C152" s="9"/>
      <c r="D152" s="9"/>
      <c r="E152" s="10"/>
      <c r="F152" s="9"/>
      <c r="G152" s="9"/>
      <c r="H152" s="9"/>
      <c r="I152" s="9"/>
      <c r="J152" s="9"/>
      <c r="K152" s="9" t="s">
        <v>634</v>
      </c>
      <c r="L152" s="9"/>
      <c r="M152" s="9"/>
      <c r="N152" s="9"/>
      <c r="O152" s="9"/>
      <c r="P152" s="9"/>
    </row>
    <row r="153" spans="2:16" outlineLevel="1" x14ac:dyDescent="0.25"/>
    <row r="154" spans="2:16" ht="40.5" outlineLevel="1" x14ac:dyDescent="0.35">
      <c r="L154" s="419" t="s">
        <v>623</v>
      </c>
      <c r="M154" s="419"/>
      <c r="N154" s="419"/>
      <c r="O154" s="313" t="str">
        <f xml:space="preserve"> "Relative performance (" &amp; Year &amp; ")"</f>
        <v>Relative performance (2019-20)</v>
      </c>
    </row>
    <row r="155" spans="2:16" ht="67.5" outlineLevel="1" x14ac:dyDescent="0.25">
      <c r="C155" s="288" t="s">
        <v>223</v>
      </c>
      <c r="D155" s="322" t="str">
        <f xml:space="preserve"> "PCs met " &amp; Last_year</f>
        <v>PCs met 2018-19</v>
      </c>
      <c r="E155" s="322" t="str">
        <f xml:space="preserve"> "PCs met " &amp; Year</f>
        <v>PCs met 2019-20</v>
      </c>
      <c r="F155" s="322" t="str">
        <f xml:space="preserve"> Year &amp; " actual PC1"</f>
        <v>2019-20 actual PC1</v>
      </c>
      <c r="G155" s="322" t="str">
        <f xml:space="preserve"> Year &amp; " actual PC2"</f>
        <v>2019-20 actual PC2</v>
      </c>
      <c r="H155" s="322" t="str">
        <f xml:space="preserve"> Year &amp; " target PC1"</f>
        <v>2019-20 target PC1</v>
      </c>
      <c r="I155" s="322" t="str">
        <f xml:space="preserve"> Year &amp; " target PC2"</f>
        <v>2019-20 target PC2</v>
      </c>
      <c r="K155" s="246"/>
      <c r="L155" s="272" t="s">
        <v>624</v>
      </c>
      <c r="M155" s="272" t="s">
        <v>632</v>
      </c>
      <c r="N155" s="272" t="s">
        <v>633</v>
      </c>
      <c r="O155" s="272" t="s">
        <v>252</v>
      </c>
    </row>
    <row r="156" spans="2:16" s="79" customFormat="1" ht="16.149999999999999" customHeight="1" outlineLevel="1" x14ac:dyDescent="0.3">
      <c r="B156" s="283"/>
      <c r="C156" s="175" t="s">
        <v>80</v>
      </c>
      <c r="D156" s="115">
        <f ca="1">'CALCS│Performance Commitments'!L79</f>
        <v>1</v>
      </c>
      <c r="E156" s="115">
        <f ca="1">'CALCS│Performance Commitments'!T79</f>
        <v>1</v>
      </c>
      <c r="F156" s="93">
        <f>'CALCS│Performance Commitments'!V79</f>
        <v>1.1499999999999999</v>
      </c>
      <c r="G156" s="93" t="str">
        <f ca="1">'CALCS│Performance Commitments'!W79</f>
        <v>-</v>
      </c>
      <c r="H156" s="93">
        <f>'CALCS│Performance Commitments'!X79</f>
        <v>1.23</v>
      </c>
      <c r="I156" s="93" t="str">
        <f ca="1">'CALCS│Performance Commitments'!Y79</f>
        <v>-</v>
      </c>
      <c r="J156" s="283"/>
      <c r="K156" s="258" t="str">
        <f>VLOOKUP( C156, 'Map &amp; Key'!$C$78:$D$98, 2, 0 )</f>
        <v>Anglian Water</v>
      </c>
      <c r="L156" s="122" t="str">
        <f ca="1" xml:space="preserve"> _xlfn.IFNA( IF( OR( H156 = "-", D156 = "-" ), "-", IF( E156 = D156, 'Map &amp; Key'!$G$71, IF( E156 &gt; D156, 'Map &amp; Key'!$G$72, 'Map &amp; Key'!$G$70 ) ) ), "-" )</f>
        <v>◄►</v>
      </c>
      <c r="M156" s="262">
        <f ca="1" xml:space="preserve"> IF( OR( G156 = "-", I156 = "-" ), F156, TEXT( F156, "0.00" ) &amp; "; " &amp; TEXT( G156, "0.00" ) )</f>
        <v>1.1499999999999999</v>
      </c>
      <c r="N156" s="262">
        <f ca="1" xml:space="preserve"> IF( OR( G156 = "-", I156 = "-" ), H156, TEXT( H156, "0.00" ) &amp; "; " &amp; TEXT( I156, "0.00" ) )</f>
        <v>1.23</v>
      </c>
      <c r="O156" s="123">
        <f xml:space="preserve"> VLOOKUP( C156, CALCS│Outcomes!$C$220:$L$236, MATCH( Year, CALCS│Outcomes!$C$2:$L$2, 0), 0 )</f>
        <v>1.1499999999999999</v>
      </c>
      <c r="P156" s="283"/>
    </row>
    <row r="157" spans="2:16" s="79" customFormat="1" ht="16.149999999999999" customHeight="1" outlineLevel="1" x14ac:dyDescent="0.3">
      <c r="B157" s="283"/>
      <c r="C157" s="174" t="s">
        <v>82</v>
      </c>
      <c r="D157" s="115">
        <f ca="1">'CALCS│Performance Commitments'!L80</f>
        <v>0</v>
      </c>
      <c r="E157" s="115">
        <f ca="1">'CALCS│Performance Commitments'!T80</f>
        <v>0</v>
      </c>
      <c r="F157" s="93">
        <f>'CALCS│Performance Commitments'!V80</f>
        <v>2.8</v>
      </c>
      <c r="G157" s="93" t="str">
        <f ca="1">'CALCS│Performance Commitments'!W80</f>
        <v>-</v>
      </c>
      <c r="H157" s="93">
        <f>'CALCS│Performance Commitments'!X80</f>
        <v>1.23</v>
      </c>
      <c r="I157" s="93" t="str">
        <f ca="1">'CALCS│Performance Commitments'!Y80</f>
        <v>-</v>
      </c>
      <c r="J157" s="283"/>
      <c r="K157" s="258" t="str">
        <f>VLOOKUP( C157, 'Map &amp; Key'!$C$78:$D$98, 2, 0 )</f>
        <v>Dŵr Cymru</v>
      </c>
      <c r="L157" s="124" t="str">
        <f ca="1" xml:space="preserve"> _xlfn.IFNA( IF( OR( H157 = "-", D157 = "-" ), "-", IF( E157 = D157, 'Map &amp; Key'!$G$71, IF( E157 &gt; D157, 'Map &amp; Key'!$G$72, 'Map &amp; Key'!$G$70 ) ) ), "-" )</f>
        <v>◄►</v>
      </c>
      <c r="M157" s="262">
        <f t="shared" ref="M157:M172" ca="1" si="8" xml:space="preserve"> IF( OR( G157 = "-", I157 = "-" ), F157, TEXT( F157, "0.00" ) &amp; "; " &amp; TEXT( G157, "0.00" ) )</f>
        <v>2.8</v>
      </c>
      <c r="N157" s="262">
        <f t="shared" ref="N157:N172" ca="1" si="9" xml:space="preserve"> IF( OR( G157 = "-", I157 = "-" ), H157, TEXT( H157, "0.00" ) &amp; "; " &amp; TEXT( I157, "0.00" ) )</f>
        <v>1.23</v>
      </c>
      <c r="O157" s="123">
        <f xml:space="preserve"> VLOOKUP( C157, CALCS│Outcomes!$C$220:$L$236, MATCH( Year, CALCS│Outcomes!$C$2:$L$2, 0), 0 )</f>
        <v>2.96</v>
      </c>
      <c r="P157" s="283"/>
    </row>
    <row r="158" spans="2:16" s="79" customFormat="1" ht="16.149999999999999" customHeight="1" outlineLevel="1" x14ac:dyDescent="0.3">
      <c r="B158" s="283"/>
      <c r="C158" s="174" t="s">
        <v>85</v>
      </c>
      <c r="D158" s="115">
        <f ca="1">'CALCS│Performance Commitments'!L81</f>
        <v>0</v>
      </c>
      <c r="E158" s="115">
        <f ca="1">'CALCS│Performance Commitments'!T81</f>
        <v>0</v>
      </c>
      <c r="F158" s="93">
        <f>'CALCS│Performance Commitments'!V81</f>
        <v>1.32</v>
      </c>
      <c r="G158" s="93">
        <f ca="1">'CALCS│Performance Commitments'!W81</f>
        <v>2.236410200916207</v>
      </c>
      <c r="H158" s="93">
        <f>'CALCS│Performance Commitments'!X81</f>
        <v>1.01</v>
      </c>
      <c r="I158" s="93">
        <f ca="1">'CALCS│Performance Commitments'!Y81</f>
        <v>1.2624896295494716</v>
      </c>
      <c r="J158" s="283"/>
      <c r="K158" s="258" t="str">
        <f>VLOOKUP( C158, 'Map &amp; Key'!$C$78:$D$98, 2, 0 )</f>
        <v>Hafren Dyfrdwy</v>
      </c>
      <c r="L158" s="124" t="str">
        <f ca="1" xml:space="preserve"> _xlfn.IFNA( IF( OR( H158 = "-", D158 = "-" ), "-", IF( E158 = D158, 'Map &amp; Key'!$G$71, IF( E158 &gt; D158, 'Map &amp; Key'!$G$72, 'Map &amp; Key'!$G$70 ) ) ), "-" )</f>
        <v>◄►</v>
      </c>
      <c r="M158" s="262" t="str">
        <f t="shared" ca="1" si="8"/>
        <v>1.32; 2.24</v>
      </c>
      <c r="N158" s="262" t="str">
        <f t="shared" ca="1" si="9"/>
        <v>1.01; 1.26</v>
      </c>
      <c r="O158" s="123">
        <f xml:space="preserve"> VLOOKUP( C158, CALCS│Outcomes!$C$220:$L$236, MATCH( Year, CALCS│Outcomes!$C$2:$L$2, 0), 0 )</f>
        <v>2.4500000000000002</v>
      </c>
      <c r="P158" s="283"/>
    </row>
    <row r="159" spans="2:16" s="79" customFormat="1" ht="16.149999999999999" customHeight="1" outlineLevel="1" x14ac:dyDescent="0.3">
      <c r="B159" s="283"/>
      <c r="C159" s="174" t="s">
        <v>87</v>
      </c>
      <c r="D159" s="115">
        <f ca="1">'CALCS│Performance Commitments'!L82</f>
        <v>0.5</v>
      </c>
      <c r="E159" s="115">
        <f ca="1">'CALCS│Performance Commitments'!T82</f>
        <v>1</v>
      </c>
      <c r="F159" s="93">
        <f>'CALCS│Performance Commitments'!V82</f>
        <v>0.19</v>
      </c>
      <c r="G159" s="93">
        <f ca="1">'CALCS│Performance Commitments'!W82</f>
        <v>0.55000000000000004</v>
      </c>
      <c r="H159" s="93">
        <f>'CALCS│Performance Commitments'!X82</f>
        <v>0.22</v>
      </c>
      <c r="I159" s="93">
        <f ca="1">'CALCS│Performance Commitments'!Y82</f>
        <v>0.65</v>
      </c>
      <c r="J159" s="283"/>
      <c r="K159" s="258" t="str">
        <f>VLOOKUP( C159, 'Map &amp; Key'!$C$78:$D$98, 2, 0 )</f>
        <v>Northumbrian Water</v>
      </c>
      <c r="L159" s="124" t="str">
        <f ca="1" xml:space="preserve"> _xlfn.IFNA( IF( OR( H159 = "-", D159 = "-" ), "-", IF( E159 = D159, 'Map &amp; Key'!$G$71, IF( E159 &gt; D159, 'Map &amp; Key'!$G$72, 'Map &amp; Key'!$G$70 ) ) ), "-" )</f>
        <v>▲</v>
      </c>
      <c r="M159" s="262" t="str">
        <f t="shared" ca="1" si="8"/>
        <v>0.19; 0.55</v>
      </c>
      <c r="N159" s="262" t="str">
        <f t="shared" ca="1" si="9"/>
        <v>0.22; 0.65</v>
      </c>
      <c r="O159" s="123">
        <f xml:space="preserve"> VLOOKUP( C159, CALCS│Outcomes!$C$220:$L$236, MATCH( Year, CALCS│Outcomes!$C$2:$L$2, 0), 0 )</f>
        <v>1.0630397570403092</v>
      </c>
      <c r="P159" s="283"/>
    </row>
    <row r="160" spans="2:16" s="79" customFormat="1" ht="16.149999999999999" customHeight="1" outlineLevel="1" x14ac:dyDescent="0.3">
      <c r="B160" s="283"/>
      <c r="C160" s="174" t="s">
        <v>89</v>
      </c>
      <c r="D160" s="115">
        <f ca="1">'CALCS│Performance Commitments'!L83</f>
        <v>0.5</v>
      </c>
      <c r="E160" s="115">
        <f ca="1">'CALCS│Performance Commitments'!T83</f>
        <v>0</v>
      </c>
      <c r="F160" s="93">
        <f>'CALCS│Performance Commitments'!V83</f>
        <v>1.3117735704360949</v>
      </c>
      <c r="G160" s="93">
        <f ca="1">'CALCS│Performance Commitments'!W83</f>
        <v>1.17</v>
      </c>
      <c r="H160" s="93">
        <f>'CALCS│Performance Commitments'!X83</f>
        <v>1.2784026486461972</v>
      </c>
      <c r="I160" s="93">
        <f ca="1">'CALCS│Performance Commitments'!Y83</f>
        <v>1.01</v>
      </c>
      <c r="J160" s="283"/>
      <c r="K160" s="258" t="str">
        <f>VLOOKUP( C160, 'Map &amp; Key'!$C$78:$D$98, 2, 0 )</f>
        <v>Severn Trent Water</v>
      </c>
      <c r="L160" s="124" t="str">
        <f ca="1" xml:space="preserve"> _xlfn.IFNA( IF( OR( H160 = "-", D160 = "-" ), "-", IF( E160 = D160, 'Map &amp; Key'!$G$71, IF( E160 &gt; D160, 'Map &amp; Key'!$G$72, 'Map &amp; Key'!$G$70 ) ) ), "-" )</f>
        <v>▼</v>
      </c>
      <c r="M160" s="262" t="str">
        <f t="shared" ca="1" si="8"/>
        <v>1.31; 1.17</v>
      </c>
      <c r="N160" s="262" t="str">
        <f t="shared" ca="1" si="9"/>
        <v>1.28; 1.01</v>
      </c>
      <c r="O160" s="123">
        <f xml:space="preserve"> VLOOKUP( C160, CALCS│Outcomes!$C$220:$L$236, MATCH( Year, CALCS│Outcomes!$C$2:$L$2, 0), 0 )</f>
        <v>1.4</v>
      </c>
      <c r="P160" s="283"/>
    </row>
    <row r="161" spans="2:16" s="79" customFormat="1" ht="16.149999999999999" customHeight="1" outlineLevel="1" x14ac:dyDescent="0.3">
      <c r="B161" s="283"/>
      <c r="C161" s="176" t="s">
        <v>91</v>
      </c>
      <c r="D161" s="115">
        <f ca="1">'CALCS│Performance Commitments'!L84</f>
        <v>1</v>
      </c>
      <c r="E161" s="115">
        <f ca="1">'CALCS│Performance Commitments'!T84</f>
        <v>1</v>
      </c>
      <c r="F161" s="93">
        <f>'CALCS│Performance Commitments'!V84</f>
        <v>1.9</v>
      </c>
      <c r="G161" s="93">
        <f>'CALCS│Performance Commitments'!W84</f>
        <v>1.01</v>
      </c>
      <c r="H161" s="93">
        <f>'CALCS│Performance Commitments'!X84</f>
        <v>3</v>
      </c>
      <c r="I161" s="93">
        <f>'CALCS│Performance Commitments'!Y84</f>
        <v>1.23</v>
      </c>
      <c r="J161" s="283"/>
      <c r="K161" s="258" t="str">
        <f>VLOOKUP( C161, 'Map &amp; Key'!$C$78:$D$98, 2, 0 )</f>
        <v>South West Water</v>
      </c>
      <c r="L161" s="124" t="str">
        <f ca="1" xml:space="preserve"> _xlfn.IFNA( IF( OR( H161 = "-", D161 = "-" ), "-", IF( E161 = D161, 'Map &amp; Key'!$G$71, IF( E161 &gt; D161, 'Map &amp; Key'!$G$72, 'Map &amp; Key'!$G$70 ) ) ), "-" )</f>
        <v>◄►</v>
      </c>
      <c r="M161" s="262" t="str">
        <f t="shared" si="8"/>
        <v>1.90; 1.01</v>
      </c>
      <c r="N161" s="262" t="str">
        <f t="shared" si="9"/>
        <v>3.00; 1.23</v>
      </c>
      <c r="O161" s="123">
        <f xml:space="preserve"> VLOOKUP( C161, CALCS│Outcomes!$C$220:$L$236, MATCH( Year, CALCS│Outcomes!$C$2:$L$2, 0), 0 )</f>
        <v>2.0920222761358622</v>
      </c>
      <c r="P161" s="283"/>
    </row>
    <row r="162" spans="2:16" s="79" customFormat="1" ht="16.149999999999999" customHeight="1" outlineLevel="1" x14ac:dyDescent="0.3">
      <c r="B162" s="283"/>
      <c r="C162" s="174" t="s">
        <v>94</v>
      </c>
      <c r="D162" s="115">
        <f ca="1">'CALCS│Performance Commitments'!L85</f>
        <v>1</v>
      </c>
      <c r="E162" s="115">
        <f ca="1">'CALCS│Performance Commitments'!T85</f>
        <v>1</v>
      </c>
      <c r="F162" s="93">
        <f>'CALCS│Performance Commitments'!V85</f>
        <v>0.67</v>
      </c>
      <c r="G162" s="93" t="str">
        <f ca="1">'CALCS│Performance Commitments'!W85</f>
        <v>-</v>
      </c>
      <c r="H162" s="93">
        <f>'CALCS│Performance Commitments'!X85</f>
        <v>0.82</v>
      </c>
      <c r="I162" s="93" t="str">
        <f ca="1">'CALCS│Performance Commitments'!Y85</f>
        <v>-</v>
      </c>
      <c r="J162" s="283"/>
      <c r="K162" s="258" t="str">
        <f>VLOOKUP( C162, 'Map &amp; Key'!$C$78:$D$98, 2, 0 )</f>
        <v>Southern Water</v>
      </c>
      <c r="L162" s="124" t="str">
        <f ca="1" xml:space="preserve"> _xlfn.IFNA( IF( OR( H162 = "-", D162 = "-" ), "-", IF( E162 = D162, 'Map &amp; Key'!$G$71, IF( E162 &gt; D162, 'Map &amp; Key'!$G$72, 'Map &amp; Key'!$G$70 ) ) ), "-" )</f>
        <v>◄►</v>
      </c>
      <c r="M162" s="262">
        <f t="shared" ca="1" si="8"/>
        <v>0.67</v>
      </c>
      <c r="N162" s="262">
        <f t="shared" ca="1" si="9"/>
        <v>0.82</v>
      </c>
      <c r="O162" s="123">
        <f xml:space="preserve"> VLOOKUP( C162, CALCS│Outcomes!$C$220:$L$236, MATCH( Year, CALCS│Outcomes!$C$2:$L$2, 0), 0 )</f>
        <v>1.21</v>
      </c>
      <c r="P162" s="283"/>
    </row>
    <row r="163" spans="2:16" s="79" customFormat="1" ht="16.149999999999999" customHeight="1" outlineLevel="1" x14ac:dyDescent="0.3">
      <c r="B163" s="283"/>
      <c r="C163" s="174" t="s">
        <v>96</v>
      </c>
      <c r="D163" s="115" t="str">
        <f>'CALCS│Performance Commitments'!L86</f>
        <v>-</v>
      </c>
      <c r="E163" s="115" t="str">
        <f>'CALCS│Performance Commitments'!T86</f>
        <v>-</v>
      </c>
      <c r="F163" s="93" t="str">
        <f>'CALCS│Performance Commitments'!V86</f>
        <v>-</v>
      </c>
      <c r="G163" s="93" t="str">
        <f ca="1">'CALCS│Performance Commitments'!W86</f>
        <v>-</v>
      </c>
      <c r="H163" s="93" t="str">
        <f>'CALCS│Performance Commitments'!X86</f>
        <v>-</v>
      </c>
      <c r="I163" s="93" t="str">
        <f ca="1">'CALCS│Performance Commitments'!Y86</f>
        <v>-</v>
      </c>
      <c r="J163" s="283"/>
      <c r="K163" s="258" t="str">
        <f>VLOOKUP( C163, 'Map &amp; Key'!$C$78:$D$98, 2, 0 )</f>
        <v>Thames Water</v>
      </c>
      <c r="L163" s="124" t="str">
        <f xml:space="preserve"> _xlfn.IFNA( IF( OR( H163 = "-", D163 = "-" ), "-", IF( E163 = D163, 'Map &amp; Key'!$G$71, IF( E163 &gt; D163, 'Map &amp; Key'!$G$72, 'Map &amp; Key'!$G$70 ) ) ), "-" )</f>
        <v>-</v>
      </c>
      <c r="M163" s="262" t="str">
        <f t="shared" ca="1" si="8"/>
        <v>-</v>
      </c>
      <c r="N163" s="262" t="str">
        <f t="shared" ca="1" si="9"/>
        <v>-</v>
      </c>
      <c r="O163" s="123">
        <f xml:space="preserve"> VLOOKUP( C163, CALCS│Outcomes!$C$220:$L$236, MATCH( Year, CALCS│Outcomes!$C$2:$L$2, 0), 0 )</f>
        <v>0.62</v>
      </c>
      <c r="P163" s="283"/>
    </row>
    <row r="164" spans="2:16" s="79" customFormat="1" ht="16.149999999999999" customHeight="1" outlineLevel="1" x14ac:dyDescent="0.3">
      <c r="B164" s="283"/>
      <c r="C164" s="174" t="s">
        <v>98</v>
      </c>
      <c r="D164" s="115">
        <f ca="1">'CALCS│Performance Commitments'!L87</f>
        <v>0</v>
      </c>
      <c r="E164" s="115">
        <f ca="1">'CALCS│Performance Commitments'!T87</f>
        <v>0</v>
      </c>
      <c r="F164" s="93">
        <f>'CALCS│Performance Commitments'!V87</f>
        <v>1.444978864281991</v>
      </c>
      <c r="G164" s="93" t="str">
        <f ca="1">'CALCS│Performance Commitments'!W87</f>
        <v>-</v>
      </c>
      <c r="H164" s="93">
        <f>'CALCS│Performance Commitments'!X87</f>
        <v>0.95410616669882031</v>
      </c>
      <c r="I164" s="93" t="str">
        <f ca="1">'CALCS│Performance Commitments'!Y87</f>
        <v>-</v>
      </c>
      <c r="J164" s="283"/>
      <c r="K164" s="258" t="str">
        <f>VLOOKUP( C164, 'Map &amp; Key'!$C$78:$D$98, 2, 0 )</f>
        <v>United Utilities</v>
      </c>
      <c r="L164" s="124" t="str">
        <f ca="1" xml:space="preserve"> _xlfn.IFNA( IF( OR( H164 = "-", D164 = "-" ), "-", IF( E164 = D164, 'Map &amp; Key'!$G$71, IF( E164 &gt; D164, 'Map &amp; Key'!$G$72, 'Map &amp; Key'!$G$70 ) ) ), "-" )</f>
        <v>◄►</v>
      </c>
      <c r="M164" s="262">
        <f t="shared" ca="1" si="8"/>
        <v>1.444978864281991</v>
      </c>
      <c r="N164" s="262">
        <f t="shared" ca="1" si="9"/>
        <v>0.95410616669882031</v>
      </c>
      <c r="O164" s="123">
        <f xml:space="preserve"> VLOOKUP( C164, CALCS│Outcomes!$C$220:$L$236, MATCH( Year, CALCS│Outcomes!$C$2:$L$2, 0), 0 )</f>
        <v>1.93</v>
      </c>
      <c r="P164" s="283"/>
    </row>
    <row r="165" spans="2:16" s="79" customFormat="1" ht="16.149999999999999" customHeight="1" outlineLevel="1" x14ac:dyDescent="0.3">
      <c r="B165" s="283"/>
      <c r="C165" s="174" t="s">
        <v>100</v>
      </c>
      <c r="D165" s="115">
        <f ca="1">'CALCS│Performance Commitments'!L88</f>
        <v>0</v>
      </c>
      <c r="E165" s="115">
        <f ca="1">'CALCS│Performance Commitments'!T88</f>
        <v>0</v>
      </c>
      <c r="F165" s="93">
        <f>'CALCS│Performance Commitments'!V88</f>
        <v>1.59</v>
      </c>
      <c r="G165" s="93" t="str">
        <f ca="1">'CALCS│Performance Commitments'!W88</f>
        <v>-</v>
      </c>
      <c r="H165" s="93">
        <f>'CALCS│Performance Commitments'!X88</f>
        <v>1.23</v>
      </c>
      <c r="I165" s="93" t="str">
        <f ca="1">'CALCS│Performance Commitments'!Y88</f>
        <v>-</v>
      </c>
      <c r="J165" s="283"/>
      <c r="K165" s="258" t="str">
        <f>VLOOKUP( C165, 'Map &amp; Key'!$C$78:$D$98, 2, 0 )</f>
        <v>Wessex Water</v>
      </c>
      <c r="L165" s="124" t="str">
        <f ca="1" xml:space="preserve"> _xlfn.IFNA( IF( OR( H165 = "-", D165 = "-" ), "-", IF( E165 = D165, 'Map &amp; Key'!$G$71, IF( E165 &gt; D165, 'Map &amp; Key'!$G$72, 'Map &amp; Key'!$G$70 ) ) ), "-" )</f>
        <v>◄►</v>
      </c>
      <c r="M165" s="262">
        <f t="shared" ca="1" si="8"/>
        <v>1.59</v>
      </c>
      <c r="N165" s="262">
        <f t="shared" ca="1" si="9"/>
        <v>1.23</v>
      </c>
      <c r="O165" s="123">
        <f xml:space="preserve"> VLOOKUP( C165, CALCS│Outcomes!$C$220:$L$236, MATCH( Year, CALCS│Outcomes!$C$2:$L$2, 0), 0 )</f>
        <v>1.59</v>
      </c>
      <c r="P165" s="283"/>
    </row>
    <row r="166" spans="2:16" s="79" customFormat="1" ht="16.149999999999999" customHeight="1" outlineLevel="1" x14ac:dyDescent="0.3">
      <c r="B166" s="283"/>
      <c r="C166" s="174" t="s">
        <v>102</v>
      </c>
      <c r="D166" s="115">
        <f ca="1">'CALCS│Performance Commitments'!L89</f>
        <v>0</v>
      </c>
      <c r="E166" s="115">
        <f ca="1">'CALCS│Performance Commitments'!T89</f>
        <v>0</v>
      </c>
      <c r="F166" s="93">
        <f>'CALCS│Performance Commitments'!V89</f>
        <v>1.2557349105742424</v>
      </c>
      <c r="G166" s="93" t="str">
        <f ca="1">'CALCS│Performance Commitments'!W89</f>
        <v>-</v>
      </c>
      <c r="H166" s="93">
        <f>'CALCS│Performance Commitments'!X89</f>
        <v>1.204464326913862</v>
      </c>
      <c r="I166" s="93" t="str">
        <f ca="1">'CALCS│Performance Commitments'!Y89</f>
        <v>-</v>
      </c>
      <c r="J166" s="283"/>
      <c r="K166" s="258" t="str">
        <f>VLOOKUP( C166, 'Map &amp; Key'!$C$78:$D$98, 2, 0 )</f>
        <v>Yorkshire Water</v>
      </c>
      <c r="L166" s="124" t="str">
        <f ca="1" xml:space="preserve"> _xlfn.IFNA( IF( OR( H166 = "-", D166 = "-" ), "-", IF( E166 = D166, 'Map &amp; Key'!$G$71, IF( E166 &gt; D166, 'Map &amp; Key'!$G$72, 'Map &amp; Key'!$G$70 ) ) ), "-" )</f>
        <v>◄►</v>
      </c>
      <c r="M166" s="262">
        <f t="shared" ca="1" si="8"/>
        <v>1.2557349105742424</v>
      </c>
      <c r="N166" s="262">
        <f t="shared" ca="1" si="9"/>
        <v>1.204464326913862</v>
      </c>
      <c r="O166" s="123">
        <f xml:space="preserve"> VLOOKUP( C166, CALCS│Outcomes!$C$220:$L$236, MATCH( Year, CALCS│Outcomes!$C$2:$L$2, 0), 0 )</f>
        <v>1.31</v>
      </c>
      <c r="P166" s="283"/>
    </row>
    <row r="167" spans="2:16" s="79" customFormat="1" ht="16.149999999999999" customHeight="1" outlineLevel="1" x14ac:dyDescent="0.3">
      <c r="B167" s="283"/>
      <c r="C167" s="174" t="s">
        <v>104</v>
      </c>
      <c r="D167" s="115">
        <f ca="1">'CALCS│Performance Commitments'!L90</f>
        <v>1</v>
      </c>
      <c r="E167" s="115">
        <f ca="1">'CALCS│Performance Commitments'!T90</f>
        <v>1</v>
      </c>
      <c r="F167" s="93">
        <f>'CALCS│Performance Commitments'!V90</f>
        <v>0.25</v>
      </c>
      <c r="G167" s="93" t="str">
        <f ca="1">'CALCS│Performance Commitments'!W90</f>
        <v>-</v>
      </c>
      <c r="H167" s="93">
        <f>'CALCS│Performance Commitments'!X90</f>
        <v>0.66</v>
      </c>
      <c r="I167" s="93" t="str">
        <f ca="1">'CALCS│Performance Commitments'!Y90</f>
        <v>-</v>
      </c>
      <c r="J167" s="283"/>
      <c r="K167" s="258" t="str">
        <f>VLOOKUP( C167, 'Map &amp; Key'!$C$78:$D$98, 2, 0 )</f>
        <v>Affinity Water</v>
      </c>
      <c r="L167" s="124" t="str">
        <f ca="1" xml:space="preserve"> _xlfn.IFNA( IF( OR( H167 = "-", D167 = "-" ), "-", IF( E167 = D167, 'Map &amp; Key'!$G$71, IF( E167 &gt; D167, 'Map &amp; Key'!$G$72, 'Map &amp; Key'!$G$70 ) ) ), "-" )</f>
        <v>◄►</v>
      </c>
      <c r="M167" s="262">
        <f t="shared" ca="1" si="8"/>
        <v>0.25</v>
      </c>
      <c r="N167" s="262">
        <f t="shared" ca="1" si="9"/>
        <v>0.66</v>
      </c>
      <c r="O167" s="123">
        <f xml:space="preserve"> VLOOKUP( C167, CALCS│Outcomes!$C$220:$L$236, MATCH( Year, CALCS│Outcomes!$C$2:$L$2, 0), 0 )</f>
        <v>0.81</v>
      </c>
      <c r="P167" s="283"/>
    </row>
    <row r="168" spans="2:16" s="79" customFormat="1" ht="16.149999999999999" customHeight="1" outlineLevel="1" x14ac:dyDescent="0.3">
      <c r="B168" s="283"/>
      <c r="C168" s="174" t="s">
        <v>106</v>
      </c>
      <c r="D168" s="115">
        <f ca="1">'CALCS│Performance Commitments'!L91</f>
        <v>1</v>
      </c>
      <c r="E168" s="115">
        <f ca="1">'CALCS│Performance Commitments'!T91</f>
        <v>1</v>
      </c>
      <c r="F168" s="93">
        <f>'CALCS│Performance Commitments'!V91</f>
        <v>1.42</v>
      </c>
      <c r="G168" s="93" t="str">
        <f ca="1">'CALCS│Performance Commitments'!W91</f>
        <v>-</v>
      </c>
      <c r="H168" s="93">
        <f>'CALCS│Performance Commitments'!X91</f>
        <v>1.84</v>
      </c>
      <c r="I168" s="93" t="str">
        <f ca="1">'CALCS│Performance Commitments'!Y91</f>
        <v>-</v>
      </c>
      <c r="J168" s="283"/>
      <c r="K168" s="258" t="str">
        <f>VLOOKUP( C168, 'Map &amp; Key'!$C$78:$D$98, 2, 0 )</f>
        <v>Bristol Water</v>
      </c>
      <c r="L168" s="124" t="str">
        <f ca="1" xml:space="preserve"> _xlfn.IFNA( IF( OR( H168 = "-", D168 = "-" ), "-", IF( E168 = D168, 'Map &amp; Key'!$G$71, IF( E168 &gt; D168, 'Map &amp; Key'!$G$72, 'Map &amp; Key'!$G$70 ) ) ), "-" )</f>
        <v>◄►</v>
      </c>
      <c r="M168" s="262">
        <f t="shared" ca="1" si="8"/>
        <v>1.42</v>
      </c>
      <c r="N168" s="262">
        <f t="shared" ca="1" si="9"/>
        <v>1.84</v>
      </c>
      <c r="O168" s="123">
        <f xml:space="preserve"> VLOOKUP( C168, CALCS│Outcomes!$C$220:$L$236, MATCH( Year, CALCS│Outcomes!$C$2:$L$2, 0), 0 )</f>
        <v>1.46</v>
      </c>
      <c r="P168" s="283"/>
    </row>
    <row r="169" spans="2:16" s="79" customFormat="1" ht="16.149999999999999" customHeight="1" outlineLevel="1" x14ac:dyDescent="0.3">
      <c r="B169" s="283"/>
      <c r="C169" s="174" t="s">
        <v>108</v>
      </c>
      <c r="D169" s="115">
        <f ca="1">'CALCS│Performance Commitments'!L92</f>
        <v>0</v>
      </c>
      <c r="E169" s="115">
        <f ca="1">'CALCS│Performance Commitments'!T92</f>
        <v>1</v>
      </c>
      <c r="F169" s="93">
        <f>'CALCS│Performance Commitments'!V92</f>
        <v>0.39495798319327702</v>
      </c>
      <c r="G169" s="93" t="str">
        <f ca="1">'CALCS│Performance Commitments'!W92</f>
        <v>-</v>
      </c>
      <c r="H169" s="93">
        <f>'CALCS│Performance Commitments'!X92</f>
        <v>0.41299999999999998</v>
      </c>
      <c r="I169" s="93" t="str">
        <f ca="1">'CALCS│Performance Commitments'!Y92</f>
        <v>-</v>
      </c>
      <c r="J169" s="283"/>
      <c r="K169" s="258" t="str">
        <f>VLOOKUP( C169, 'Map &amp; Key'!$C$78:$D$98, 2, 0 )</f>
        <v>Portsmouth Water</v>
      </c>
      <c r="L169" s="124" t="str">
        <f ca="1" xml:space="preserve"> _xlfn.IFNA( IF( OR( H169 = "-", D169 = "-" ), "-", IF( E169 = D169, 'Map &amp; Key'!$G$71, IF( E169 &gt; D169, 'Map &amp; Key'!$G$72, 'Map &amp; Key'!$G$70 ) ) ), "-" )</f>
        <v>▲</v>
      </c>
      <c r="M169" s="262">
        <f t="shared" ca="1" si="8"/>
        <v>0.39495798319327702</v>
      </c>
      <c r="N169" s="262">
        <f t="shared" ca="1" si="9"/>
        <v>0.41299999999999998</v>
      </c>
      <c r="O169" s="123">
        <f xml:space="preserve"> VLOOKUP( C169, CALCS│Outcomes!$C$220:$L$236, MATCH( Year, CALCS│Outcomes!$C$2:$L$2, 0), 0 )</f>
        <v>0.39</v>
      </c>
      <c r="P169" s="283"/>
    </row>
    <row r="170" spans="2:16" s="79" customFormat="1" ht="16.149999999999999" customHeight="1" outlineLevel="1" x14ac:dyDescent="0.3">
      <c r="B170" s="283"/>
      <c r="C170" s="174" t="s">
        <v>112</v>
      </c>
      <c r="D170" s="115">
        <f ca="1">'CALCS│Performance Commitments'!L93</f>
        <v>0</v>
      </c>
      <c r="E170" s="115">
        <f ca="1">'CALCS│Performance Commitments'!T93</f>
        <v>1</v>
      </c>
      <c r="F170" s="93">
        <f>'CALCS│Performance Commitments'!V93</f>
        <v>0.53</v>
      </c>
      <c r="G170" s="93" t="str">
        <f ca="1">'CALCS│Performance Commitments'!W93</f>
        <v>-</v>
      </c>
      <c r="H170" s="93">
        <f>'CALCS│Performance Commitments'!X93</f>
        <v>0.57999999999999996</v>
      </c>
      <c r="I170" s="93" t="str">
        <f ca="1">'CALCS│Performance Commitments'!Y93</f>
        <v>-</v>
      </c>
      <c r="J170" s="283"/>
      <c r="K170" s="258" t="str">
        <f>VLOOKUP( C170, 'Map &amp; Key'!$C$78:$D$98, 2, 0 )</f>
        <v>South East Water</v>
      </c>
      <c r="L170" s="124" t="str">
        <f ca="1" xml:space="preserve"> _xlfn.IFNA( IF( OR( H170 = "-", D170 = "-" ), "-", IF( E170 = D170, 'Map &amp; Key'!$G$71, IF( E170 &gt; D170, 'Map &amp; Key'!$G$72, 'Map &amp; Key'!$G$70 ) ) ), "-" )</f>
        <v>▲</v>
      </c>
      <c r="M170" s="262">
        <f t="shared" ca="1" si="8"/>
        <v>0.53</v>
      </c>
      <c r="N170" s="262">
        <f t="shared" ca="1" si="9"/>
        <v>0.57999999999999996</v>
      </c>
      <c r="O170" s="123">
        <f xml:space="preserve"> VLOOKUP( C170, CALCS│Outcomes!$C$220:$L$236, MATCH( Year, CALCS│Outcomes!$C$2:$L$2, 0), 0 )</f>
        <v>1.37</v>
      </c>
      <c r="P170" s="283"/>
    </row>
    <row r="171" spans="2:16" s="79" customFormat="1" ht="16.149999999999999" customHeight="1" outlineLevel="1" x14ac:dyDescent="0.3">
      <c r="B171" s="283"/>
      <c r="C171" s="174" t="s">
        <v>114</v>
      </c>
      <c r="D171" s="115">
        <f ca="1">'CALCS│Performance Commitments'!L94</f>
        <v>0</v>
      </c>
      <c r="E171" s="115">
        <f ca="1">'CALCS│Performance Commitments'!T94</f>
        <v>1</v>
      </c>
      <c r="F171" s="93">
        <f>'CALCS│Performance Commitments'!V94</f>
        <v>1.19</v>
      </c>
      <c r="G171" s="93" t="str">
        <f ca="1">'CALCS│Performance Commitments'!W94</f>
        <v>-</v>
      </c>
      <c r="H171" s="93">
        <f>'CALCS│Performance Commitments'!X94</f>
        <v>1.23</v>
      </c>
      <c r="I171" s="93" t="str">
        <f ca="1">'CALCS│Performance Commitments'!Y94</f>
        <v>-</v>
      </c>
      <c r="J171" s="283"/>
      <c r="K171" s="258" t="str">
        <f>VLOOKUP( C171, 'Map &amp; Key'!$C$78:$D$98, 2, 0 )</f>
        <v>South Staffs Water</v>
      </c>
      <c r="L171" s="124" t="str">
        <f ca="1" xml:space="preserve"> _xlfn.IFNA( IF( OR( H171 = "-", D171 = "-" ), "-", IF( E171 = D171, 'Map &amp; Key'!$G$71, IF( E171 &gt; D171, 'Map &amp; Key'!$G$72, 'Map &amp; Key'!$G$70 ) ) ), "-" )</f>
        <v>▲</v>
      </c>
      <c r="M171" s="262">
        <f t="shared" ca="1" si="8"/>
        <v>1.19</v>
      </c>
      <c r="N171" s="262">
        <f t="shared" ca="1" si="9"/>
        <v>1.23</v>
      </c>
      <c r="O171" s="123">
        <f xml:space="preserve"> VLOOKUP( C171, CALCS│Outcomes!$C$220:$L$236, MATCH( Year, CALCS│Outcomes!$C$2:$L$2, 0), 0 )</f>
        <v>1.1845630767872126</v>
      </c>
      <c r="P171" s="283"/>
    </row>
    <row r="172" spans="2:16" s="79" customFormat="1" ht="16.149999999999999" customHeight="1" outlineLevel="1" x14ac:dyDescent="0.3">
      <c r="B172" s="283"/>
      <c r="C172" s="174" t="s">
        <v>110</v>
      </c>
      <c r="D172" s="115">
        <f ca="1">'CALCS│Performance Commitments'!L95</f>
        <v>0</v>
      </c>
      <c r="E172" s="115">
        <f ca="1">'CALCS│Performance Commitments'!T95</f>
        <v>1</v>
      </c>
      <c r="F172" s="93">
        <f>'CALCS│Performance Commitments'!V95</f>
        <v>0.46205870075949285</v>
      </c>
      <c r="G172" s="93" t="str">
        <f ca="1">'CALCS│Performance Commitments'!W95</f>
        <v>-</v>
      </c>
      <c r="H172" s="93">
        <f>'CALCS│Performance Commitments'!X95</f>
        <v>0.47589910938880953</v>
      </c>
      <c r="I172" s="93" t="str">
        <f ca="1">'CALCS│Performance Commitments'!Y95</f>
        <v>-</v>
      </c>
      <c r="J172" s="283"/>
      <c r="K172" s="258" t="str">
        <f>VLOOKUP( C172, 'Map &amp; Key'!$C$78:$D$98, 2, 0 )</f>
        <v>SES Water</v>
      </c>
      <c r="L172" s="124" t="str">
        <f ca="1" xml:space="preserve"> _xlfn.IFNA( IF( OR( H172 = "-", D172 = "-" ), "-", IF( E172 = D172, 'Map &amp; Key'!$G$71, IF( E172 &gt; D172, 'Map &amp; Key'!$G$72, 'Map &amp; Key'!$G$70 ) ) ), "-" )</f>
        <v>▲</v>
      </c>
      <c r="M172" s="262">
        <f t="shared" ca="1" si="8"/>
        <v>0.46205870075949285</v>
      </c>
      <c r="N172" s="262">
        <f t="shared" ca="1" si="9"/>
        <v>0.47589910938880953</v>
      </c>
      <c r="O172" s="123">
        <f xml:space="preserve"> VLOOKUP( C172, CALCS│Outcomes!$C$220:$L$236, MATCH( Year, CALCS│Outcomes!$C$2:$L$2, 0), 0 )</f>
        <v>0.49</v>
      </c>
      <c r="P172" s="283"/>
    </row>
    <row r="173" spans="2:16" outlineLevel="1" x14ac:dyDescent="0.25"/>
    <row r="174" spans="2:16" outlineLevel="1" x14ac:dyDescent="0.25">
      <c r="N174" s="8" t="s">
        <v>615</v>
      </c>
      <c r="O174" s="82">
        <f>_xlfn.PERCENTILE.INC(O156:O172, 0.25)</f>
        <v>1.0630397570403092</v>
      </c>
    </row>
    <row r="175" spans="2:16" outlineLevel="1" x14ac:dyDescent="0.25">
      <c r="N175" s="8" t="s">
        <v>616</v>
      </c>
      <c r="O175" s="82">
        <f>_xlfn.PERCENTILE.INC(O156:O172, 0.75)</f>
        <v>1.59</v>
      </c>
    </row>
    <row r="177" spans="2:16" ht="13.5" x14ac:dyDescent="0.35">
      <c r="B177" s="9" t="s">
        <v>166</v>
      </c>
      <c r="C177" s="9"/>
      <c r="D177" s="9"/>
      <c r="E177" s="10"/>
      <c r="F177" s="9"/>
      <c r="G177" s="9"/>
      <c r="H177" s="9"/>
      <c r="I177" s="9"/>
      <c r="J177" s="9"/>
      <c r="K177" s="9" t="s">
        <v>638</v>
      </c>
      <c r="L177" s="9"/>
      <c r="M177" s="9"/>
      <c r="N177" s="9"/>
      <c r="O177" s="9"/>
      <c r="P177" s="9"/>
    </row>
    <row r="178" spans="2:16" outlineLevel="1" x14ac:dyDescent="0.25"/>
    <row r="179" spans="2:16" ht="40.5" outlineLevel="1" x14ac:dyDescent="0.35">
      <c r="L179" s="419" t="s">
        <v>623</v>
      </c>
      <c r="M179" s="419"/>
      <c r="N179" s="419"/>
      <c r="O179" s="313" t="str">
        <f xml:space="preserve"> "Relative performance (" &amp; Year &amp; ")"</f>
        <v>Relative performance (2019-20)</v>
      </c>
    </row>
    <row r="180" spans="2:16" ht="51" customHeight="1" outlineLevel="1" x14ac:dyDescent="0.25">
      <c r="C180" s="288" t="s">
        <v>223</v>
      </c>
      <c r="D180" s="322" t="str">
        <f xml:space="preserve"> "PCs met " &amp; Last_year</f>
        <v>PCs met 2018-19</v>
      </c>
      <c r="E180" s="322" t="str">
        <f xml:space="preserve"> "PCs met " &amp; Year</f>
        <v>PCs met 2019-20</v>
      </c>
      <c r="F180" s="322" t="str">
        <f xml:space="preserve"> Year &amp; " actual PC1"</f>
        <v>2019-20 actual PC1</v>
      </c>
      <c r="G180" s="322" t="str">
        <f xml:space="preserve"> Year &amp; " actual PC2"</f>
        <v>2019-20 actual PC2</v>
      </c>
      <c r="H180" s="322" t="str">
        <f xml:space="preserve"> Year &amp; " target PC1"</f>
        <v>2019-20 target PC1</v>
      </c>
      <c r="I180" s="322" t="str">
        <f xml:space="preserve"> Year &amp; " target PC2"</f>
        <v>2019-20 target PC2</v>
      </c>
      <c r="K180" s="246"/>
      <c r="L180" s="272" t="s">
        <v>624</v>
      </c>
      <c r="M180" s="272" t="s">
        <v>635</v>
      </c>
      <c r="N180" s="272" t="s">
        <v>636</v>
      </c>
      <c r="O180" s="272" t="s">
        <v>637</v>
      </c>
    </row>
    <row r="181" spans="2:16" s="79" customFormat="1" ht="16.149999999999999" customHeight="1" outlineLevel="1" x14ac:dyDescent="0.25">
      <c r="B181" s="283"/>
      <c r="C181" s="174" t="s">
        <v>80</v>
      </c>
      <c r="D181" s="115" t="str">
        <f>'CALCS│Performance Commitments'!L102</f>
        <v>-</v>
      </c>
      <c r="E181" s="115">
        <f ca="1">'CALCS│Performance Commitments'!T102</f>
        <v>1</v>
      </c>
      <c r="F181" s="93">
        <f>'CALCS│Performance Commitments'!V102</f>
        <v>296</v>
      </c>
      <c r="G181" s="93" t="str">
        <f ca="1">'CALCS│Performance Commitments'!W102</f>
        <v>-</v>
      </c>
      <c r="H181" s="93">
        <f>'CALCS│Performance Commitments'!X102</f>
        <v>448</v>
      </c>
      <c r="I181" s="93" t="str">
        <f ca="1">'CALCS│Performance Commitments'!Y102</f>
        <v>-</v>
      </c>
      <c r="J181" s="8"/>
      <c r="K181" s="258" t="str">
        <f>VLOOKUP( C181, 'Map &amp; Key'!$C$78:$D$98, 2, 0 )</f>
        <v>Anglian Water</v>
      </c>
      <c r="L181" s="122" t="str">
        <f xml:space="preserve"> _xlfn.IFNA( IF( OR( H181 = "-", D181 = "-" ), "-", IF( E181 = D181, 'Map &amp; Key'!$G$71, IF( E181 &gt; D181, 'Map &amp; Key'!$G$72, 'Map &amp; Key'!$G$70 ) ) ), "-" )</f>
        <v>-</v>
      </c>
      <c r="M181" s="259">
        <f ca="1" xml:space="preserve"> IF( OR( G181 = "-", I181 = "-" ), F181, TEXT( F181, "0" ) &amp; "; " &amp; TEXT( G181, "0" ) )</f>
        <v>296</v>
      </c>
      <c r="N181" s="259">
        <f ca="1" xml:space="preserve"> IF( OR( G181 = "-", I181 = "-" ), H181, TEXT( H181, "0" ) &amp; "; " &amp; TEXT( I181, "0" ) )</f>
        <v>448</v>
      </c>
      <c r="O181" s="123">
        <f xml:space="preserve"> VLOOKUP( C181, CALCS│Outcomes!$C$301:$L$311, MATCH( Year, CALCS│Outcomes!$C$2:$L$2, 0), 0 )</f>
        <v>1.052838627226478</v>
      </c>
      <c r="P181" s="283"/>
    </row>
    <row r="182" spans="2:16" s="79" customFormat="1" ht="16.149999999999999" customHeight="1" outlineLevel="1" x14ac:dyDescent="0.3">
      <c r="B182" s="283"/>
      <c r="C182" s="174" t="s">
        <v>82</v>
      </c>
      <c r="D182" s="115">
        <f ca="1">'CALCS│Performance Commitments'!L103</f>
        <v>1</v>
      </c>
      <c r="E182" s="115">
        <f ca="1">'CALCS│Performance Commitments'!T103</f>
        <v>1</v>
      </c>
      <c r="F182" s="93">
        <f>'CALCS│Performance Commitments'!V103</f>
        <v>216</v>
      </c>
      <c r="G182" s="93" t="str">
        <f ca="1">'CALCS│Performance Commitments'!W103</f>
        <v>-</v>
      </c>
      <c r="H182" s="93">
        <f>'CALCS│Performance Commitments'!X103</f>
        <v>269</v>
      </c>
      <c r="I182" s="93" t="str">
        <f ca="1">'CALCS│Performance Commitments'!Y103</f>
        <v>-</v>
      </c>
      <c r="J182" s="283"/>
      <c r="K182" s="258" t="str">
        <f>VLOOKUP( C182, 'Map &amp; Key'!$C$78:$D$98, 2, 0 )</f>
        <v>Dŵr Cymru</v>
      </c>
      <c r="L182" s="124" t="str">
        <f ca="1" xml:space="preserve"> _xlfn.IFNA( IF( OR( H182 = "-", D182 = "-" ), "-", IF( E182 = D182, 'Map &amp; Key'!$G$71, IF( E182 &gt; D182, 'Map &amp; Key'!$G$72, 'Map &amp; Key'!$G$70 ) ) ), "-" )</f>
        <v>◄►</v>
      </c>
      <c r="M182" s="259">
        <f t="shared" ref="M182:M191" ca="1" si="10" xml:space="preserve"> IF( OR( G182 = "-", I182 = "-" ), F182, TEXT( F182, "0" ) &amp; "; " &amp; TEXT( G182, "0" ) )</f>
        <v>216</v>
      </c>
      <c r="N182" s="259">
        <f t="shared" ref="N182:N191" ca="1" si="11" xml:space="preserve"> IF( OR( G182 = "-", I182 = "-" ), H182, TEXT( H182, "0" ) &amp; "; " &amp; TEXT( I182, "0" ) )</f>
        <v>269</v>
      </c>
      <c r="O182" s="123">
        <f xml:space="preserve"> VLOOKUP( C182, CALCS│Outcomes!$C$301:$L$311, MATCH( Year, CALCS│Outcomes!$C$2:$L$2, 0), 0 )</f>
        <v>1.4750753244482808</v>
      </c>
      <c r="P182" s="283"/>
    </row>
    <row r="183" spans="2:16" s="79" customFormat="1" ht="16.149999999999999" customHeight="1" outlineLevel="1" x14ac:dyDescent="0.3">
      <c r="B183" s="283"/>
      <c r="C183" s="174" t="s">
        <v>85</v>
      </c>
      <c r="D183" s="115">
        <f ca="1">'CALCS│Performance Commitments'!L104</f>
        <v>1</v>
      </c>
      <c r="E183" s="115">
        <f ca="1">'CALCS│Performance Commitments'!T104</f>
        <v>0</v>
      </c>
      <c r="F183" s="93">
        <f>'CALCS│Performance Commitments'!V104</f>
        <v>10</v>
      </c>
      <c r="G183" s="93" t="str">
        <f ca="1">'CALCS│Performance Commitments'!W104</f>
        <v>-</v>
      </c>
      <c r="H183" s="93">
        <f>'CALCS│Performance Commitments'!X104</f>
        <v>7</v>
      </c>
      <c r="I183" s="93" t="str">
        <f ca="1">'CALCS│Performance Commitments'!Y104</f>
        <v>-</v>
      </c>
      <c r="J183" s="283"/>
      <c r="K183" s="258" t="str">
        <f>VLOOKUP( C183, 'Map &amp; Key'!$C$78:$D$98, 2, 0 )</f>
        <v>Hafren Dyfrdwy</v>
      </c>
      <c r="L183" s="124" t="str">
        <f ca="1" xml:space="preserve"> _xlfn.IFNA( IF( OR( H183 = "-", D183 = "-" ), "-", IF( E183 = D183, 'Map &amp; Key'!$G$71, IF( E183 &gt; D183, 'Map &amp; Key'!$G$72, 'Map &amp; Key'!$G$70 ) ) ), "-" )</f>
        <v>▼</v>
      </c>
      <c r="M183" s="259">
        <f t="shared" ca="1" si="10"/>
        <v>10</v>
      </c>
      <c r="N183" s="259">
        <f t="shared" ca="1" si="11"/>
        <v>7</v>
      </c>
      <c r="O183" s="123">
        <f xml:space="preserve"> VLOOKUP( C183, CALCS│Outcomes!$C$301:$L$311, MATCH( Year, CALCS│Outcomes!$C$2:$L$2, 0), 0 )</f>
        <v>4.7795686696797741</v>
      </c>
      <c r="P183" s="283"/>
    </row>
    <row r="184" spans="2:16" s="79" customFormat="1" ht="16.149999999999999" customHeight="1" outlineLevel="1" x14ac:dyDescent="0.3">
      <c r="B184" s="283"/>
      <c r="C184" s="174" t="s">
        <v>87</v>
      </c>
      <c r="D184" s="115">
        <f ca="1">'CALCS│Performance Commitments'!L105</f>
        <v>0.5</v>
      </c>
      <c r="E184" s="115">
        <f ca="1">'CALCS│Performance Commitments'!T105</f>
        <v>1</v>
      </c>
      <c r="F184" s="93">
        <f>'CALCS│Performance Commitments'!V105</f>
        <v>139</v>
      </c>
      <c r="G184" s="93">
        <f ca="1">'CALCS│Performance Commitments'!W105</f>
        <v>205</v>
      </c>
      <c r="H184" s="93">
        <f>'CALCS│Performance Commitments'!X105</f>
        <v>186</v>
      </c>
      <c r="I184" s="93">
        <f ca="1">'CALCS│Performance Commitments'!Y105</f>
        <v>228</v>
      </c>
      <c r="J184" s="283"/>
      <c r="K184" s="258" t="str">
        <f>VLOOKUP( C184, 'Map &amp; Key'!$C$78:$D$98, 2, 0 )</f>
        <v>Northumbrian Water</v>
      </c>
      <c r="L184" s="124" t="str">
        <f ca="1" xml:space="preserve"> _xlfn.IFNA( IF( OR( H184 = "-", D184 = "-" ), "-", IF( E184 = D184, 'Map &amp; Key'!$G$71, IF( E184 &gt; D184, 'Map &amp; Key'!$G$72, 'Map &amp; Key'!$G$70 ) ) ), "-" )</f>
        <v>▲</v>
      </c>
      <c r="M184" s="259" t="str">
        <f t="shared" ca="1" si="10"/>
        <v>139; 205</v>
      </c>
      <c r="N184" s="259" t="str">
        <f t="shared" ca="1" si="11"/>
        <v>186; 228</v>
      </c>
      <c r="O184" s="123">
        <f xml:space="preserve"> VLOOKUP( C184, CALCS│Outcomes!$C$301:$L$311, MATCH( Year, CALCS│Outcomes!$C$2:$L$2, 0), 0 )</f>
        <v>2.9912971947240994</v>
      </c>
      <c r="P184" s="283"/>
    </row>
    <row r="185" spans="2:16" s="79" customFormat="1" ht="16.149999999999999" customHeight="1" outlineLevel="1" x14ac:dyDescent="0.3">
      <c r="B185" s="283"/>
      <c r="C185" s="174" t="s">
        <v>89</v>
      </c>
      <c r="D185" s="115">
        <f ca="1">'CALCS│Performance Commitments'!L106</f>
        <v>1</v>
      </c>
      <c r="E185" s="115">
        <f ca="1">'CALCS│Performance Commitments'!T106</f>
        <v>0</v>
      </c>
      <c r="F185" s="93">
        <f>'CALCS│Performance Commitments'!V106</f>
        <v>926</v>
      </c>
      <c r="G185" s="93" t="str">
        <f ca="1">'CALCS│Performance Commitments'!W106</f>
        <v>-</v>
      </c>
      <c r="H185" s="93">
        <f>'CALCS│Performance Commitments'!X106</f>
        <v>657</v>
      </c>
      <c r="I185" s="93" t="str">
        <f ca="1">'CALCS│Performance Commitments'!Y106</f>
        <v>-</v>
      </c>
      <c r="J185" s="283"/>
      <c r="K185" s="258" t="str">
        <f>VLOOKUP( C185, 'Map &amp; Key'!$C$78:$D$98, 2, 0 )</f>
        <v>Severn Trent Water</v>
      </c>
      <c r="L185" s="124" t="str">
        <f ca="1" xml:space="preserve"> _xlfn.IFNA( IF( OR( H185 = "-", D185 = "-" ), "-", IF( E185 = D185, 'Map &amp; Key'!$G$71, IF( E185 &gt; D185, 'Map &amp; Key'!$G$72, 'Map &amp; Key'!$G$70 ) ) ), "-" )</f>
        <v>▼</v>
      </c>
      <c r="M185" s="259">
        <f t="shared" ca="1" si="10"/>
        <v>926</v>
      </c>
      <c r="N185" s="259">
        <f t="shared" ca="1" si="11"/>
        <v>657</v>
      </c>
      <c r="O185" s="123">
        <f xml:space="preserve"> VLOOKUP( C185, CALCS│Outcomes!$C$301:$L$311, MATCH( Year, CALCS│Outcomes!$C$2:$L$2, 0), 0 )</f>
        <v>2.1995151059594815</v>
      </c>
      <c r="P185" s="283"/>
    </row>
    <row r="186" spans="2:16" s="79" customFormat="1" ht="16.149999999999999" customHeight="1" outlineLevel="1" x14ac:dyDescent="0.3">
      <c r="B186" s="283"/>
      <c r="C186" s="174" t="s">
        <v>91</v>
      </c>
      <c r="D186" s="115">
        <f ca="1">'CALCS│Performance Commitments'!L107</f>
        <v>1</v>
      </c>
      <c r="E186" s="115">
        <f ca="1">'CALCS│Performance Commitments'!T107</f>
        <v>0</v>
      </c>
      <c r="F186" s="93">
        <f>'CALCS│Performance Commitments'!V107</f>
        <v>160</v>
      </c>
      <c r="G186" s="93" t="str">
        <f ca="1">'CALCS│Performance Commitments'!W107</f>
        <v>-</v>
      </c>
      <c r="H186" s="93">
        <f>'CALCS│Performance Commitments'!X107</f>
        <v>135</v>
      </c>
      <c r="I186" s="93" t="str">
        <f ca="1">'CALCS│Performance Commitments'!Y107</f>
        <v>-</v>
      </c>
      <c r="J186" s="283"/>
      <c r="K186" s="258" t="str">
        <f>VLOOKUP( C186, 'Map &amp; Key'!$C$78:$D$98, 2, 0 )</f>
        <v>South West Water</v>
      </c>
      <c r="L186" s="124" t="str">
        <f ca="1" xml:space="preserve"> _xlfn.IFNA( IF( OR( H186 = "-", D186 = "-" ), "-", IF( E186 = D186, 'Map &amp; Key'!$G$71, IF( E186 &gt; D186, 'Map &amp; Key'!$G$72, 'Map &amp; Key'!$G$70 ) ) ), "-" )</f>
        <v>▼</v>
      </c>
      <c r="M186" s="259">
        <f t="shared" ca="1" si="10"/>
        <v>160</v>
      </c>
      <c r="N186" s="259">
        <f t="shared" ca="1" si="11"/>
        <v>135</v>
      </c>
      <c r="O186" s="123">
        <f xml:space="preserve"> VLOOKUP( C186, CALCS│Outcomes!$C$301:$L$311, MATCH( Year, CALCS│Outcomes!$C$2:$L$2, 0), 0 )</f>
        <v>2.0906670011733866</v>
      </c>
      <c r="P186" s="283"/>
    </row>
    <row r="187" spans="2:16" s="79" customFormat="1" ht="16.149999999999999" customHeight="1" outlineLevel="1" x14ac:dyDescent="0.3">
      <c r="B187" s="283"/>
      <c r="C187" s="174" t="s">
        <v>94</v>
      </c>
      <c r="D187" s="115">
        <f ca="1">'CALCS│Performance Commitments'!L108</f>
        <v>1</v>
      </c>
      <c r="E187" s="115">
        <f ca="1">'CALCS│Performance Commitments'!T108</f>
        <v>0</v>
      </c>
      <c r="F187" s="93">
        <f>'CALCS│Performance Commitments'!V108</f>
        <v>453</v>
      </c>
      <c r="G187" s="93" t="str">
        <f ca="1">'CALCS│Performance Commitments'!W108</f>
        <v>-</v>
      </c>
      <c r="H187" s="93">
        <f>'CALCS│Performance Commitments'!X108</f>
        <v>382</v>
      </c>
      <c r="I187" s="93" t="str">
        <f ca="1">'CALCS│Performance Commitments'!Y108</f>
        <v>-</v>
      </c>
      <c r="J187" s="283"/>
      <c r="K187" s="258" t="str">
        <f>VLOOKUP( C187, 'Map &amp; Key'!$C$78:$D$98, 2, 0 )</f>
        <v>Southern Water</v>
      </c>
      <c r="L187" s="124" t="str">
        <f ca="1" xml:space="preserve"> _xlfn.IFNA( IF( OR( H187 = "-", D187 = "-" ), "-", IF( E187 = D187, 'Map &amp; Key'!$G$71, IF( E187 &gt; D187, 'Map &amp; Key'!$G$72, 'Map &amp; Key'!$G$70 ) ) ), "-" )</f>
        <v>▼</v>
      </c>
      <c r="M187" s="259">
        <f t="shared" ca="1" si="10"/>
        <v>453</v>
      </c>
      <c r="N187" s="259">
        <f t="shared" ca="1" si="11"/>
        <v>382</v>
      </c>
      <c r="O187" s="123">
        <f xml:space="preserve"> VLOOKUP( C187, CALCS│Outcomes!$C$301:$L$311, MATCH( Year, CALCS│Outcomes!$C$2:$L$2, 0), 0 )</f>
        <v>2.26621128993447</v>
      </c>
      <c r="P187" s="283"/>
    </row>
    <row r="188" spans="2:16" s="79" customFormat="1" ht="16.149999999999999" customHeight="1" outlineLevel="1" x14ac:dyDescent="0.3">
      <c r="B188" s="283"/>
      <c r="C188" s="174" t="s">
        <v>96</v>
      </c>
      <c r="D188" s="115">
        <f ca="1">'CALCS│Performance Commitments'!L109</f>
        <v>1</v>
      </c>
      <c r="E188" s="115">
        <f ca="1">'CALCS│Performance Commitments'!T109</f>
        <v>1</v>
      </c>
      <c r="F188" s="93">
        <f>'CALCS│Performance Commitments'!V109</f>
        <v>1058</v>
      </c>
      <c r="G188" s="93" t="str">
        <f ca="1">'CALCS│Performance Commitments'!W109</f>
        <v>-</v>
      </c>
      <c r="H188" s="93">
        <f>'CALCS│Performance Commitments'!X109</f>
        <v>1085</v>
      </c>
      <c r="I188" s="93" t="str">
        <f ca="1">'CALCS│Performance Commitments'!Y109</f>
        <v>-</v>
      </c>
      <c r="J188" s="283"/>
      <c r="K188" s="258" t="str">
        <f>VLOOKUP( C188, 'Map &amp; Key'!$C$78:$D$98, 2, 0 )</f>
        <v>Thames Water</v>
      </c>
      <c r="L188" s="124" t="str">
        <f ca="1" xml:space="preserve"> _xlfn.IFNA( IF( OR( H188 = "-", D188 = "-" ), "-", IF( E188 = D188, 'Map &amp; Key'!$G$71, IF( E188 &gt; D188, 'Map &amp; Key'!$G$72, 'Map &amp; Key'!$G$70 ) ) ), "-" )</f>
        <v>◄►</v>
      </c>
      <c r="M188" s="259">
        <f t="shared" ca="1" si="10"/>
        <v>1058</v>
      </c>
      <c r="N188" s="259">
        <f t="shared" ca="1" si="11"/>
        <v>1085</v>
      </c>
      <c r="O188" s="123">
        <f xml:space="preserve"> VLOOKUP( C188, CALCS│Outcomes!$C$301:$L$311, MATCH( Year, CALCS│Outcomes!$C$2:$L$2, 0), 0 )</f>
        <v>1.7702873169622473</v>
      </c>
      <c r="P188" s="283"/>
    </row>
    <row r="189" spans="2:16" s="79" customFormat="1" ht="16.149999999999999" customHeight="1" outlineLevel="1" x14ac:dyDescent="0.3">
      <c r="B189" s="283"/>
      <c r="C189" s="174" t="s">
        <v>98</v>
      </c>
      <c r="D189" s="115">
        <f ca="1">'CALCS│Performance Commitments'!L110</f>
        <v>0.5</v>
      </c>
      <c r="E189" s="115">
        <f ca="1">'CALCS│Performance Commitments'!T110</f>
        <v>0</v>
      </c>
      <c r="F189" s="93">
        <f>'CALCS│Performance Commitments'!V110</f>
        <v>611</v>
      </c>
      <c r="G189" s="93">
        <f ca="1">'CALCS│Performance Commitments'!W110</f>
        <v>163</v>
      </c>
      <c r="H189" s="93">
        <f>'CALCS│Performance Commitments'!X110</f>
        <v>375</v>
      </c>
      <c r="I189" s="93">
        <f ca="1">'CALCS│Performance Commitments'!Y110</f>
        <v>55</v>
      </c>
      <c r="J189" s="283"/>
      <c r="K189" s="258" t="str">
        <f>VLOOKUP( C189, 'Map &amp; Key'!$C$78:$D$98, 2, 0 )</f>
        <v>United Utilities</v>
      </c>
      <c r="L189" s="124" t="str">
        <f ca="1" xml:space="preserve"> _xlfn.IFNA( IF( OR( H189 = "-", D189 = "-" ), "-", IF( E189 = D189, 'Map &amp; Key'!$G$71, IF( E189 &gt; D189, 'Map &amp; Key'!$G$72, 'Map &amp; Key'!$G$70 ) ) ), "-" )</f>
        <v>▼</v>
      </c>
      <c r="M189" s="259" t="str">
        <f t="shared" ca="1" si="10"/>
        <v>611; 163</v>
      </c>
      <c r="N189" s="259" t="str">
        <f t="shared" ca="1" si="11"/>
        <v>375; 55</v>
      </c>
      <c r="O189" s="123">
        <f xml:space="preserve"> VLOOKUP( C189, CALCS│Outcomes!$C$301:$L$311, MATCH( Year, CALCS│Outcomes!$C$2:$L$2, 0), 0 )</f>
        <v>2.2920721842826035</v>
      </c>
      <c r="P189" s="283"/>
    </row>
    <row r="190" spans="2:16" s="79" customFormat="1" ht="16.149999999999999" customHeight="1" outlineLevel="1" x14ac:dyDescent="0.3">
      <c r="B190" s="283"/>
      <c r="C190" s="174" t="s">
        <v>100</v>
      </c>
      <c r="D190" s="115">
        <f ca="1">'CALCS│Performance Commitments'!L111</f>
        <v>1</v>
      </c>
      <c r="E190" s="115">
        <f ca="1">'CALCS│Performance Commitments'!T111</f>
        <v>1</v>
      </c>
      <c r="F190" s="93">
        <f>'CALCS│Performance Commitments'!V111</f>
        <v>146</v>
      </c>
      <c r="G190" s="93" t="str">
        <f ca="1">'CALCS│Performance Commitments'!W111</f>
        <v>-</v>
      </c>
      <c r="H190" s="93">
        <f>'CALCS│Performance Commitments'!X111</f>
        <v>209</v>
      </c>
      <c r="I190" s="93" t="str">
        <f ca="1">'CALCS│Performance Commitments'!Y111</f>
        <v>-</v>
      </c>
      <c r="J190" s="283"/>
      <c r="K190" s="258" t="str">
        <f>VLOOKUP( C190, 'Map &amp; Key'!$C$78:$D$98, 2, 0 )</f>
        <v>Wessex Water</v>
      </c>
      <c r="L190" s="124" t="str">
        <f ca="1" xml:space="preserve"> _xlfn.IFNA( IF( OR( H190 = "-", D190 = "-" ), "-", IF( E190 = D190, 'Map &amp; Key'!$G$71, IF( E190 &gt; D190, 'Map &amp; Key'!$G$72, 'Map &amp; Key'!$G$70 ) ) ), "-" )</f>
        <v>◄►</v>
      </c>
      <c r="M190" s="259">
        <f t="shared" ca="1" si="10"/>
        <v>146</v>
      </c>
      <c r="N190" s="259">
        <f t="shared" ca="1" si="11"/>
        <v>209</v>
      </c>
      <c r="O190" s="123">
        <f xml:space="preserve"> VLOOKUP( C190, CALCS│Outcomes!$C$301:$L$311, MATCH( Year, CALCS│Outcomes!$C$2:$L$2, 0), 0 )</f>
        <v>1.1600900420572371</v>
      </c>
      <c r="P190" s="283"/>
    </row>
    <row r="191" spans="2:16" s="79" customFormat="1" ht="16.149999999999999" customHeight="1" outlineLevel="1" x14ac:dyDescent="0.3">
      <c r="B191" s="283"/>
      <c r="C191" s="174" t="s">
        <v>102</v>
      </c>
      <c r="D191" s="115">
        <f ca="1">'CALCS│Performance Commitments'!L112</f>
        <v>1</v>
      </c>
      <c r="E191" s="115">
        <f ca="1">'CALCS│Performance Commitments'!T112</f>
        <v>1</v>
      </c>
      <c r="F191" s="93">
        <f>'CALCS│Performance Commitments'!V112</f>
        <v>1602</v>
      </c>
      <c r="G191" s="93" t="str">
        <f ca="1">'CALCS│Performance Commitments'!W112</f>
        <v>-</v>
      </c>
      <c r="H191" s="93">
        <f>'CALCS│Performance Commitments'!X112</f>
        <v>1919</v>
      </c>
      <c r="I191" s="93" t="str">
        <f ca="1">'CALCS│Performance Commitments'!Y112</f>
        <v>-</v>
      </c>
      <c r="J191" s="283"/>
      <c r="K191" s="258" t="str">
        <f>VLOOKUP( C191, 'Map &amp; Key'!$C$78:$D$98, 2, 0 )</f>
        <v>Yorkshire Water</v>
      </c>
      <c r="L191" s="124" t="str">
        <f ca="1" xml:space="preserve"> _xlfn.IFNA( IF( OR( H191 = "-", D191 = "-" ), "-", IF( E191 = D191, 'Map &amp; Key'!$G$71, IF( E191 &gt; D191, 'Map &amp; Key'!$G$72, 'Map &amp; Key'!$G$70 ) ) ), "-" )</f>
        <v>◄►</v>
      </c>
      <c r="M191" s="259">
        <f t="shared" ca="1" si="10"/>
        <v>1602</v>
      </c>
      <c r="N191" s="259">
        <f t="shared" ca="1" si="11"/>
        <v>1919</v>
      </c>
      <c r="O191" s="123">
        <f xml:space="preserve"> VLOOKUP( C191, CALCS│Outcomes!$C$301:$L$311, MATCH( Year, CALCS│Outcomes!$C$2:$L$2, 0), 0 )</f>
        <v>6.9261329220887866</v>
      </c>
      <c r="P191" s="283"/>
    </row>
    <row r="192" spans="2:16" outlineLevel="1" x14ac:dyDescent="0.25"/>
    <row r="193" spans="2:18" outlineLevel="1" x14ac:dyDescent="0.25">
      <c r="N193" s="8" t="s">
        <v>615</v>
      </c>
      <c r="O193" s="82">
        <f>_xlfn.PERCENTILE.INC(O181:O191, 0.25)</f>
        <v>1.6226813207052642</v>
      </c>
    </row>
    <row r="194" spans="2:18" outlineLevel="1" x14ac:dyDescent="0.25">
      <c r="N194" s="8" t="s">
        <v>616</v>
      </c>
      <c r="O194" s="82">
        <f>_xlfn.PERCENTILE.INC(O181:O191, 0.75)</f>
        <v>2.6416846895033514</v>
      </c>
    </row>
    <row r="196" spans="2:18" ht="13.5" x14ac:dyDescent="0.35">
      <c r="B196" s="9" t="s">
        <v>167</v>
      </c>
      <c r="C196" s="9"/>
      <c r="D196" s="9"/>
      <c r="E196" s="10"/>
      <c r="F196" s="9"/>
      <c r="G196" s="9"/>
      <c r="H196" s="9"/>
      <c r="I196" s="9"/>
      <c r="J196" s="9"/>
      <c r="K196" s="9" t="s">
        <v>784</v>
      </c>
      <c r="L196" s="9"/>
      <c r="M196" s="9"/>
      <c r="N196" s="9"/>
      <c r="O196" s="9"/>
      <c r="P196" s="9"/>
    </row>
    <row r="197" spans="2:18" outlineLevel="1" x14ac:dyDescent="0.25"/>
    <row r="198" spans="2:18" ht="40.5" outlineLevel="1" x14ac:dyDescent="0.35">
      <c r="L198" s="419" t="s">
        <v>623</v>
      </c>
      <c r="M198" s="419"/>
      <c r="N198" s="419"/>
      <c r="O198" s="313" t="str">
        <f xml:space="preserve"> "Relative performance (" &amp; Year &amp; ")"</f>
        <v>Relative performance (2019-20)</v>
      </c>
    </row>
    <row r="199" spans="2:18" ht="54" outlineLevel="1" x14ac:dyDescent="0.25">
      <c r="C199" s="288" t="s">
        <v>223</v>
      </c>
      <c r="D199" s="322" t="str">
        <f xml:space="preserve"> "PCs met " &amp; Last_year</f>
        <v>PCs met 2018-19</v>
      </c>
      <c r="E199" s="322" t="str">
        <f xml:space="preserve"> "PCs met " &amp; Year</f>
        <v>PCs met 2019-20</v>
      </c>
      <c r="F199" s="322" t="str">
        <f xml:space="preserve"> Year &amp; " actual PC1"</f>
        <v>2019-20 actual PC1</v>
      </c>
      <c r="G199" s="322" t="str">
        <f xml:space="preserve"> Year &amp; " actual PC2"</f>
        <v>2019-20 actual PC2</v>
      </c>
      <c r="H199" s="322" t="str">
        <f xml:space="preserve"> Year &amp; " target PC1"</f>
        <v>2019-20 target PC1</v>
      </c>
      <c r="I199" s="322" t="str">
        <f xml:space="preserve"> Year &amp; " target PC2"</f>
        <v>2019-20 target PC2</v>
      </c>
      <c r="K199" s="246"/>
      <c r="L199" s="272" t="s">
        <v>624</v>
      </c>
      <c r="M199" s="272" t="s">
        <v>635</v>
      </c>
      <c r="N199" s="272" t="s">
        <v>636</v>
      </c>
      <c r="O199" s="272" t="s">
        <v>639</v>
      </c>
    </row>
    <row r="200" spans="2:18" s="79" customFormat="1" ht="16.149999999999999" customHeight="1" outlineLevel="1" x14ac:dyDescent="0.25">
      <c r="B200" s="283"/>
      <c r="C200" s="174" t="s">
        <v>80</v>
      </c>
      <c r="D200" s="115">
        <f ca="1">'CALCS│Performance Commitments'!L116</f>
        <v>1</v>
      </c>
      <c r="E200" s="115">
        <f ca="1">'CALCS│Performance Commitments'!T116</f>
        <v>1</v>
      </c>
      <c r="F200" s="93">
        <f>'CALCS│Performance Commitments'!V116</f>
        <v>254</v>
      </c>
      <c r="G200" s="93" t="str">
        <f ca="1">'CALCS│Performance Commitments'!W116</f>
        <v>-</v>
      </c>
      <c r="H200" s="93">
        <f>'CALCS│Performance Commitments'!X116</f>
        <v>298</v>
      </c>
      <c r="I200" s="93" t="str">
        <f ca="1">'CALCS│Performance Commitments'!Y116</f>
        <v>-</v>
      </c>
      <c r="J200" s="283"/>
      <c r="K200" s="258" t="str">
        <f>VLOOKUP( C200, 'Map &amp; Key'!$C$78:$D$98, 2, 0 )</f>
        <v>Anglian Water</v>
      </c>
      <c r="L200" s="122" t="str">
        <f ca="1" xml:space="preserve"> _xlfn.IFNA( IF( OR( H200 = "-", D200 = "-" ), "-", IF( E200 = D200, 'Map &amp; Key'!$G$71, IF( E200 &gt; D200, 'Map &amp; Key'!$G$72, 'Map &amp; Key'!$G$70 ) ) ), "-" )</f>
        <v>◄►</v>
      </c>
      <c r="M200" s="259">
        <f ca="1" xml:space="preserve"> IF( OR( G200 = "-", I200 = "-" ), F200, TEXT( F200, "0" ) &amp; "; " &amp; TEXT( G200, "0" ) )</f>
        <v>254</v>
      </c>
      <c r="N200" s="259">
        <f ca="1" xml:space="preserve"> IF( OR( G200 = "-", I200 = "-" ), H200, TEXT( H200, "0" ) &amp; "; " &amp; TEXT( I200, "0" ) )</f>
        <v>298</v>
      </c>
      <c r="O200" s="125">
        <f xml:space="preserve"> _xlfn.IFNA( VLOOKUP( C200, CALCS│Outcomes!$C$320:$L$330, MATCH( Year, CALCS│Outcomes!$C$2:$L$2, 0), 0 ), "-" )</f>
        <v>35</v>
      </c>
      <c r="P200" s="283"/>
      <c r="R200" s="8"/>
    </row>
    <row r="201" spans="2:18" s="79" customFormat="1" ht="16.149999999999999" customHeight="1" outlineLevel="1" x14ac:dyDescent="0.25">
      <c r="B201" s="283"/>
      <c r="C201" s="174" t="s">
        <v>82</v>
      </c>
      <c r="D201" s="115">
        <f ca="1">'CALCS│Performance Commitments'!L117</f>
        <v>1</v>
      </c>
      <c r="E201" s="115">
        <f ca="1">'CALCS│Performance Commitments'!T117</f>
        <v>1</v>
      </c>
      <c r="F201" s="93">
        <f>'CALCS│Performance Commitments'!V117</f>
        <v>120</v>
      </c>
      <c r="G201" s="93" t="str">
        <f ca="1">'CALCS│Performance Commitments'!W117</f>
        <v>-</v>
      </c>
      <c r="H201" s="93">
        <f>'CALCS│Performance Commitments'!X117</f>
        <v>131</v>
      </c>
      <c r="I201" s="93" t="str">
        <f ca="1">'CALCS│Performance Commitments'!Y117</f>
        <v>-</v>
      </c>
      <c r="J201" s="283"/>
      <c r="K201" s="258" t="str">
        <f>VLOOKUP( C201, 'Map &amp; Key'!$C$78:$D$98, 2, 0 )</f>
        <v>Dŵr Cymru</v>
      </c>
      <c r="L201" s="124" t="str">
        <f ca="1" xml:space="preserve"> _xlfn.IFNA( IF( OR( H201 = "-", D201 = "-" ), "-", IF( E201 = D201, 'Map &amp; Key'!$G$71, IF( E201 &gt; D201, 'Map &amp; Key'!$G$72, 'Map &amp; Key'!$G$70 ) ) ), "-" )</f>
        <v>◄►</v>
      </c>
      <c r="M201" s="259">
        <f t="shared" ref="M201:M210" ca="1" si="12" xml:space="preserve"> IF( OR( G201 = "-", I201 = "-" ), F201, TEXT( F201, "0" ) &amp; "; " &amp; TEXT( G201, "0" ) )</f>
        <v>120</v>
      </c>
      <c r="N201" s="259">
        <f t="shared" ref="N201:N210" ca="1" si="13" xml:space="preserve"> IF( OR( G201 = "-", I201 = "-" ), H201, TEXT( H201, "0" ) &amp; "; " &amp; TEXT( I201, "0" ) )</f>
        <v>131</v>
      </c>
      <c r="O201" s="125">
        <f xml:space="preserve"> _xlfn.IFNA( VLOOKUP( C201, CALCS│Outcomes!$C$320:$L$330, MATCH( Year, CALCS│Outcomes!$C$2:$L$2, 0), 0 ), "-" )</f>
        <v>25.24</v>
      </c>
      <c r="P201" s="283"/>
      <c r="R201" s="8"/>
    </row>
    <row r="202" spans="2:18" s="321" customFormat="1" ht="16.149999999999999" customHeight="1" outlineLevel="1" x14ac:dyDescent="0.3">
      <c r="C202" s="174" t="s">
        <v>85</v>
      </c>
      <c r="D202" s="115">
        <f ca="1">'CALCS│Performance Commitments'!L118</f>
        <v>1</v>
      </c>
      <c r="E202" s="115">
        <f ca="1">'CALCS│Performance Commitments'!T118</f>
        <v>1</v>
      </c>
      <c r="F202" s="93">
        <f>'CALCS│Performance Commitments'!V118</f>
        <v>4</v>
      </c>
      <c r="G202" s="93">
        <f ca="1">'CALCS│Performance Commitments'!W118</f>
        <v>0</v>
      </c>
      <c r="H202" s="93">
        <f>'CALCS│Performance Commitments'!X118</f>
        <v>10</v>
      </c>
      <c r="I202" s="93">
        <f ca="1">'CALCS│Performance Commitments'!Y118</f>
        <v>0</v>
      </c>
      <c r="K202" s="258" t="str">
        <f>VLOOKUP( C202, 'Map &amp; Key'!$C$78:$D$98, 2, 0 )</f>
        <v>Hafren Dyfrdwy</v>
      </c>
      <c r="L202" s="124" t="str">
        <f ca="1" xml:space="preserve"> _xlfn.IFNA( IF( OR( H202 = "-", D202 = "-" ), "-", IF( E202 = D202, 'Map &amp; Key'!$G$71, IF( E202 &gt; D202, 'Map &amp; Key'!$G$72, 'Map &amp; Key'!$G$70 ) ) ), "-" )</f>
        <v>◄►</v>
      </c>
      <c r="M202" s="259" t="str">
        <f ca="1" xml:space="preserve"> IF( OR( G202 = "-", I202 = "-" ), F202, TEXT( F202, "0" ) &amp; "; " &amp; TEXT( G202, "0" ) )</f>
        <v>4; 0</v>
      </c>
      <c r="N202" s="259" t="str">
        <f ca="1" xml:space="preserve"> IF( OR( G202 = "-", I202 = "-" ), H202, TEXT( H202, "0" ) &amp; "; " &amp; TEXT( I202, "0" ) )</f>
        <v>10; 0</v>
      </c>
      <c r="O202" s="125">
        <f xml:space="preserve"> _xlfn.IFNA( VLOOKUP( C202, CALCS│Outcomes!$C$320:$L$330, MATCH( Year, CALCS│Outcomes!$C$2:$L$2, 0), 0 ), "-" )</f>
        <v>67.8</v>
      </c>
    </row>
    <row r="203" spans="2:18" s="79" customFormat="1" ht="16.149999999999999" customHeight="1" outlineLevel="1" x14ac:dyDescent="0.3">
      <c r="B203" s="283"/>
      <c r="C203" s="174" t="s">
        <v>87</v>
      </c>
      <c r="D203" s="115">
        <f ca="1">'CALCS│Performance Commitments'!L119</f>
        <v>1</v>
      </c>
      <c r="E203" s="115">
        <f ca="1">'CALCS│Performance Commitments'!T119</f>
        <v>1</v>
      </c>
      <c r="F203" s="93">
        <f>'CALCS│Performance Commitments'!V119</f>
        <v>60</v>
      </c>
      <c r="G203" s="93" t="str">
        <f ca="1">'CALCS│Performance Commitments'!W119</f>
        <v>-</v>
      </c>
      <c r="H203" s="93">
        <f>'CALCS│Performance Commitments'!X119</f>
        <v>115</v>
      </c>
      <c r="I203" s="93" t="str">
        <f ca="1">'CALCS│Performance Commitments'!Y119</f>
        <v>-</v>
      </c>
      <c r="J203" s="283"/>
      <c r="K203" s="258" t="str">
        <f>VLOOKUP( C203, 'Map &amp; Key'!$C$78:$D$98, 2, 0 )</f>
        <v>Northumbrian Water</v>
      </c>
      <c r="L203" s="124" t="str">
        <f ca="1" xml:space="preserve"> _xlfn.IFNA( IF( OR( H203 = "-", D203 = "-" ), "-", IF( E203 = D203, 'Map &amp; Key'!$G$71, IF( E203 &gt; D203, 'Map &amp; Key'!$G$72, 'Map &amp; Key'!$G$70 ) ) ), "-" )</f>
        <v>◄►</v>
      </c>
      <c r="M203" s="259">
        <f t="shared" ca="1" si="12"/>
        <v>60</v>
      </c>
      <c r="N203" s="259">
        <f t="shared" ca="1" si="13"/>
        <v>115</v>
      </c>
      <c r="O203" s="125">
        <f xml:space="preserve"> _xlfn.IFNA( VLOOKUP( C203, CALCS│Outcomes!$C$320:$L$330, MATCH( Year, CALCS│Outcomes!$C$2:$L$2, 0), 0 ), "-" )</f>
        <v>15</v>
      </c>
      <c r="P203" s="283"/>
    </row>
    <row r="204" spans="2:18" s="79" customFormat="1" ht="16.149999999999999" customHeight="1" outlineLevel="1" x14ac:dyDescent="0.3">
      <c r="B204" s="283"/>
      <c r="C204" s="174" t="s">
        <v>89</v>
      </c>
      <c r="D204" s="115">
        <f ca="1">'CALCS│Performance Commitments'!L120</f>
        <v>0.5</v>
      </c>
      <c r="E204" s="115">
        <f ca="1">'CALCS│Performance Commitments'!T120</f>
        <v>0.5</v>
      </c>
      <c r="F204" s="93">
        <f>'CALCS│Performance Commitments'!V120</f>
        <v>288</v>
      </c>
      <c r="G204" s="93">
        <f ca="1">'CALCS│Performance Commitments'!W120</f>
        <v>4</v>
      </c>
      <c r="H204" s="93">
        <f>'CALCS│Performance Commitments'!X120</f>
        <v>318</v>
      </c>
      <c r="I204" s="93">
        <f ca="1">'CALCS│Performance Commitments'!Y120</f>
        <v>0</v>
      </c>
      <c r="J204" s="283"/>
      <c r="K204" s="258" t="str">
        <f>VLOOKUP( C204, 'Map &amp; Key'!$C$78:$D$98, 2, 0 )</f>
        <v>Severn Trent Water</v>
      </c>
      <c r="L204" s="124" t="str">
        <f ca="1" xml:space="preserve"> _xlfn.IFNA( IF( OR( H204 = "-", D204 = "-" ), "-", IF( E204 = D204, 'Map &amp; Key'!$G$71, IF( E204 &gt; D204, 'Map &amp; Key'!$G$72, 'Map &amp; Key'!$G$70 ) ) ), "-" )</f>
        <v>◄►</v>
      </c>
      <c r="M204" s="259" t="str">
        <f t="shared" ca="1" si="12"/>
        <v>288; 4</v>
      </c>
      <c r="N204" s="259" t="str">
        <f t="shared" ca="1" si="13"/>
        <v>318; 0</v>
      </c>
      <c r="O204" s="125">
        <f xml:space="preserve"> _xlfn.IFNA( VLOOKUP( C204, CALCS│Outcomes!$C$320:$L$330, MATCH( Year, CALCS│Outcomes!$C$2:$L$2, 0), 0 ), "-" )</f>
        <v>26</v>
      </c>
      <c r="P204" s="283"/>
    </row>
    <row r="205" spans="2:18" s="79" customFormat="1" ht="16.149999999999999" customHeight="1" outlineLevel="1" x14ac:dyDescent="0.3">
      <c r="B205" s="283"/>
      <c r="C205" s="174" t="s">
        <v>91</v>
      </c>
      <c r="D205" s="115">
        <f ca="1">'CALCS│Performance Commitments'!L121</f>
        <v>0</v>
      </c>
      <c r="E205" s="115">
        <f ca="1">'CALCS│Performance Commitments'!T121</f>
        <v>0</v>
      </c>
      <c r="F205" s="93">
        <f>'CALCS│Performance Commitments'!V121</f>
        <v>286</v>
      </c>
      <c r="G205" s="93">
        <f ca="1">'CALCS│Performance Commitments'!W121</f>
        <v>1</v>
      </c>
      <c r="H205" s="93">
        <f>'CALCS│Performance Commitments'!X121</f>
        <v>198</v>
      </c>
      <c r="I205" s="93">
        <f ca="1">'CALCS│Performance Commitments'!Y121</f>
        <v>0</v>
      </c>
      <c r="J205" s="283"/>
      <c r="K205" s="258" t="str">
        <f>VLOOKUP( C205, 'Map &amp; Key'!$C$78:$D$98, 2, 0 )</f>
        <v>South West Water</v>
      </c>
      <c r="L205" s="124" t="str">
        <f ca="1" xml:space="preserve"> _xlfn.IFNA( IF( OR( H205 = "-", D205 = "-" ), "-", IF( E205 = D205, 'Map &amp; Key'!$G$71, IF( E205 &gt; D205, 'Map &amp; Key'!$G$72, 'Map &amp; Key'!$G$70 ) ) ), "-" )</f>
        <v>◄►</v>
      </c>
      <c r="M205" s="259" t="str">
        <f t="shared" ca="1" si="12"/>
        <v>286; 1</v>
      </c>
      <c r="N205" s="259" t="str">
        <f t="shared" ca="1" si="13"/>
        <v>198; 0</v>
      </c>
      <c r="O205" s="125">
        <f xml:space="preserve"> _xlfn.IFNA( VLOOKUP( C205, CALCS│Outcomes!$C$320:$L$330, MATCH( Year, CALCS│Outcomes!$C$2:$L$2, 0), 0 ), "-" )</f>
        <v>105</v>
      </c>
      <c r="P205" s="283"/>
    </row>
    <row r="206" spans="2:18" s="79" customFormat="1" ht="16.149999999999999" customHeight="1" outlineLevel="1" x14ac:dyDescent="0.3">
      <c r="B206" s="283"/>
      <c r="C206" s="174" t="s">
        <v>94</v>
      </c>
      <c r="D206" s="115">
        <f ca="1">'CALCS│Performance Commitments'!L122</f>
        <v>0.5</v>
      </c>
      <c r="E206" s="115">
        <f ca="1">'CALCS│Performance Commitments'!T122</f>
        <v>0</v>
      </c>
      <c r="F206" s="93">
        <f>'CALCS│Performance Commitments'!V122</f>
        <v>427</v>
      </c>
      <c r="G206" s="93">
        <f ca="1">'CALCS│Performance Commitments'!W122</f>
        <v>7</v>
      </c>
      <c r="H206" s="93">
        <f>'CALCS│Performance Commitments'!X122</f>
        <v>158</v>
      </c>
      <c r="I206" s="93">
        <f ca="1">'CALCS│Performance Commitments'!Y122</f>
        <v>0</v>
      </c>
      <c r="J206" s="283"/>
      <c r="K206" s="258" t="str">
        <f>VLOOKUP( C206, 'Map &amp; Key'!$C$78:$D$98, 2, 0 )</f>
        <v>Southern Water</v>
      </c>
      <c r="L206" s="124" t="str">
        <f ca="1" xml:space="preserve"> _xlfn.IFNA( IF( OR( H206 = "-", D206 = "-" ), "-", IF( E206 = D206, 'Map &amp; Key'!$G$71, IF( E206 &gt; D206, 'Map &amp; Key'!$G$72, 'Map &amp; Key'!$G$70 ) ) ), "-" )</f>
        <v>▼</v>
      </c>
      <c r="M206" s="259" t="str">
        <f t="shared" ca="1" si="12"/>
        <v>427; 7</v>
      </c>
      <c r="N206" s="259" t="str">
        <f t="shared" ca="1" si="13"/>
        <v>158; 0</v>
      </c>
      <c r="O206" s="125">
        <f xml:space="preserve"> _xlfn.IFNA( VLOOKUP( C206, CALCS│Outcomes!$C$320:$L$330, MATCH( Year, CALCS│Outcomes!$C$2:$L$2, 0), 0 ), "-" )</f>
        <v>110</v>
      </c>
      <c r="P206" s="283"/>
    </row>
    <row r="207" spans="2:18" s="79" customFormat="1" ht="16.149999999999999" customHeight="1" outlineLevel="1" x14ac:dyDescent="0.3">
      <c r="B207" s="283"/>
      <c r="C207" s="174" t="s">
        <v>96</v>
      </c>
      <c r="D207" s="115">
        <f ca="1">'CALCS│Performance Commitments'!L123</f>
        <v>1</v>
      </c>
      <c r="E207" s="115">
        <f ca="1">'CALCS│Performance Commitments'!T123</f>
        <v>1</v>
      </c>
      <c r="F207" s="93">
        <f>'CALCS│Performance Commitments'!V123</f>
        <v>321</v>
      </c>
      <c r="G207" s="93" t="str">
        <f ca="1">'CALCS│Performance Commitments'!W123</f>
        <v>-</v>
      </c>
      <c r="H207" s="93">
        <f>'CALCS│Performance Commitments'!X123</f>
        <v>340</v>
      </c>
      <c r="I207" s="93" t="str">
        <f ca="1">'CALCS│Performance Commitments'!Y123</f>
        <v>-</v>
      </c>
      <c r="J207" s="283"/>
      <c r="K207" s="258" t="str">
        <f>VLOOKUP( C207, 'Map &amp; Key'!$C$78:$D$98, 2, 0 )</f>
        <v>Thames Water</v>
      </c>
      <c r="L207" s="124" t="str">
        <f ca="1" xml:space="preserve"> _xlfn.IFNA( IF( OR( H207 = "-", D207 = "-" ), "-", IF( E207 = D207, 'Map &amp; Key'!$G$71, IF( E207 &gt; D207, 'Map &amp; Key'!$G$72, 'Map &amp; Key'!$G$70 ) ) ), "-" )</f>
        <v>◄►</v>
      </c>
      <c r="M207" s="259">
        <f t="shared" ca="1" si="12"/>
        <v>321</v>
      </c>
      <c r="N207" s="259">
        <f t="shared" ca="1" si="13"/>
        <v>340</v>
      </c>
      <c r="O207" s="125">
        <f xml:space="preserve"> _xlfn.IFNA( VLOOKUP( C207, CALCS│Outcomes!$C$320:$L$330, MATCH( Year, CALCS│Outcomes!$C$2:$L$2, 0), 0 ), "-" )</f>
        <v>30</v>
      </c>
      <c r="P207" s="283"/>
    </row>
    <row r="208" spans="2:18" s="79" customFormat="1" ht="16.149999999999999" customHeight="1" outlineLevel="1" x14ac:dyDescent="0.3">
      <c r="B208" s="283"/>
      <c r="C208" s="174" t="s">
        <v>98</v>
      </c>
      <c r="D208" s="115">
        <f ca="1">'CALCS│Performance Commitments'!L124</f>
        <v>1</v>
      </c>
      <c r="E208" s="115">
        <f ca="1">'CALCS│Performance Commitments'!T124</f>
        <v>1</v>
      </c>
      <c r="F208" s="93">
        <f>'CALCS│Performance Commitments'!V124</f>
        <v>162</v>
      </c>
      <c r="G208" s="93">
        <f ca="1">'CALCS│Performance Commitments'!W124</f>
        <v>0</v>
      </c>
      <c r="H208" s="93">
        <f>'CALCS│Performance Commitments'!X124</f>
        <v>191</v>
      </c>
      <c r="I208" s="93">
        <f ca="1">'CALCS│Performance Commitments'!Y124</f>
        <v>0</v>
      </c>
      <c r="J208" s="283"/>
      <c r="K208" s="258" t="str">
        <f>VLOOKUP( C208, 'Map &amp; Key'!$C$78:$D$98, 2, 0 )</f>
        <v>United Utilities</v>
      </c>
      <c r="L208" s="124" t="str">
        <f ca="1" xml:space="preserve"> _xlfn.IFNA( IF( OR( H208 = "-", D208 = "-" ), "-", IF( E208 = D208, 'Map &amp; Key'!$G$71, IF( E208 &gt; D208, 'Map &amp; Key'!$G$72, 'Map &amp; Key'!$G$70 ) ) ), "-" )</f>
        <v>◄►</v>
      </c>
      <c r="M208" s="259" t="str">
        <f t="shared" ca="1" si="12"/>
        <v>162; 0</v>
      </c>
      <c r="N208" s="259" t="str">
        <f t="shared" ca="1" si="13"/>
        <v>191; 0</v>
      </c>
      <c r="O208" s="125">
        <f xml:space="preserve"> _xlfn.IFNA( VLOOKUP( C208, CALCS│Outcomes!$C$320:$L$330, MATCH( Year, CALCS│Outcomes!$C$2:$L$2, 0), 0 ), "-" )</f>
        <v>28</v>
      </c>
      <c r="P208" s="283"/>
    </row>
    <row r="209" spans="2:16" s="79" customFormat="1" ht="16.149999999999999" customHeight="1" outlineLevel="1" x14ac:dyDescent="0.3">
      <c r="B209" s="283"/>
      <c r="C209" s="174" t="s">
        <v>100</v>
      </c>
      <c r="D209" s="115" t="str">
        <f>'CALCS│Performance Commitments'!L125</f>
        <v>-</v>
      </c>
      <c r="E209" s="115" t="str">
        <f>'CALCS│Performance Commitments'!T125</f>
        <v>-</v>
      </c>
      <c r="F209" s="93" t="str">
        <f>'CALCS│Performance Commitments'!V125</f>
        <v>-</v>
      </c>
      <c r="G209" s="93" t="str">
        <f ca="1">'CALCS│Performance Commitments'!W125</f>
        <v>-</v>
      </c>
      <c r="H209" s="93" t="str">
        <f>'CALCS│Performance Commitments'!X125</f>
        <v>-</v>
      </c>
      <c r="I209" s="93" t="str">
        <f ca="1">'CALCS│Performance Commitments'!Y125</f>
        <v>-</v>
      </c>
      <c r="J209" s="283"/>
      <c r="K209" s="258" t="str">
        <f>VLOOKUP( C209, 'Map &amp; Key'!$C$78:$D$98, 2, 0 )</f>
        <v>Wessex Water</v>
      </c>
      <c r="L209" s="124" t="str">
        <f xml:space="preserve"> _xlfn.IFNA( IF( OR( H209 = "-", D209 = "-" ), "-", IF( E209 = D209, 'Map &amp; Key'!$G$71, IF( E209 &gt; D209, 'Map &amp; Key'!$G$72, 'Map &amp; Key'!$G$70 ) ) ), "-" )</f>
        <v>-</v>
      </c>
      <c r="M209" s="259" t="str">
        <f t="shared" ca="1" si="12"/>
        <v>-</v>
      </c>
      <c r="N209" s="259" t="str">
        <f t="shared" ca="1" si="13"/>
        <v>-</v>
      </c>
      <c r="O209" s="125">
        <f xml:space="preserve"> _xlfn.IFNA( VLOOKUP( C209, CALCS│Outcomes!$C$320:$L$330, MATCH( Year, CALCS│Outcomes!$C$2:$L$2, 0), 0 ), "-" )</f>
        <v>22</v>
      </c>
      <c r="P209" s="283"/>
    </row>
    <row r="210" spans="2:16" s="79" customFormat="1" ht="16.149999999999999" customHeight="1" outlineLevel="1" x14ac:dyDescent="0.3">
      <c r="B210" s="283"/>
      <c r="C210" s="174" t="s">
        <v>102</v>
      </c>
      <c r="D210" s="115">
        <f ca="1">'CALCS│Performance Commitments'!L126</f>
        <v>0.5</v>
      </c>
      <c r="E210" s="115">
        <f ca="1">'CALCS│Performance Commitments'!T126</f>
        <v>0.5</v>
      </c>
      <c r="F210" s="93">
        <f>'CALCS│Performance Commitments'!V126</f>
        <v>159</v>
      </c>
      <c r="G210" s="93">
        <f ca="1">'CALCS│Performance Commitments'!W126</f>
        <v>7</v>
      </c>
      <c r="H210" s="93">
        <f>'CALCS│Performance Commitments'!X126</f>
        <v>211</v>
      </c>
      <c r="I210" s="93">
        <f ca="1">'CALCS│Performance Commitments'!Y126</f>
        <v>0</v>
      </c>
      <c r="J210" s="283"/>
      <c r="K210" s="258" t="str">
        <f>VLOOKUP( C210, 'Map &amp; Key'!$C$78:$D$98, 2, 0 )</f>
        <v>Yorkshire Water</v>
      </c>
      <c r="L210" s="124" t="str">
        <f ca="1" xml:space="preserve"> _xlfn.IFNA( IF( OR( H210 = "-", D210 = "-" ), "-", IF( E210 = D210, 'Map &amp; Key'!$G$71, IF( E210 &gt; D210, 'Map &amp; Key'!$G$72, 'Map &amp; Key'!$G$70 ) ) ), "-" )</f>
        <v>◄►</v>
      </c>
      <c r="M210" s="259" t="str">
        <f t="shared" ca="1" si="12"/>
        <v>159; 7</v>
      </c>
      <c r="N210" s="259" t="str">
        <f t="shared" ca="1" si="13"/>
        <v>211; 0</v>
      </c>
      <c r="O210" s="125">
        <f xml:space="preserve"> _xlfn.IFNA( VLOOKUP( C210, CALCS│Outcomes!$C$320:$L$330, MATCH( Year, CALCS│Outcomes!$C$2:$L$2, 0), 0 ), "-" )</f>
        <v>35</v>
      </c>
      <c r="P210" s="283"/>
    </row>
    <row r="211" spans="2:16" outlineLevel="1" x14ac:dyDescent="0.25"/>
    <row r="212" spans="2:16" outlineLevel="1" x14ac:dyDescent="0.25">
      <c r="N212" s="8" t="s">
        <v>615</v>
      </c>
      <c r="O212" s="82">
        <f>_xlfn.PERCENTILE.INC(O200:O210, 0.25)</f>
        <v>25.619999999999997</v>
      </c>
    </row>
    <row r="213" spans="2:16" outlineLevel="1" x14ac:dyDescent="0.25">
      <c r="N213" s="8" t="s">
        <v>616</v>
      </c>
      <c r="O213" s="82">
        <f>_xlfn.PERCENTILE.INC(O200:O210, 0.75)</f>
        <v>51.4</v>
      </c>
    </row>
    <row r="215" spans="2:16" ht="13" x14ac:dyDescent="0.3">
      <c r="B215" s="17" t="s">
        <v>25</v>
      </c>
      <c r="C215" s="17"/>
      <c r="D215" s="17"/>
      <c r="E215" s="17"/>
      <c r="F215" s="17"/>
      <c r="G215" s="17"/>
      <c r="H215" s="17"/>
      <c r="I215" s="17"/>
      <c r="J215" s="17"/>
      <c r="K215" s="17"/>
      <c r="L215" s="17"/>
      <c r="M215" s="17"/>
      <c r="N215" s="17"/>
      <c r="O215" s="17"/>
      <c r="P215" s="17"/>
    </row>
  </sheetData>
  <mergeCells count="8">
    <mergeCell ref="L179:N179"/>
    <mergeCell ref="L198:N198"/>
    <mergeCell ref="L29:M29"/>
    <mergeCell ref="L54:M54"/>
    <mergeCell ref="L79:N79"/>
    <mergeCell ref="L129:N129"/>
    <mergeCell ref="L154:N154"/>
    <mergeCell ref="L104:N104"/>
  </mergeCells>
  <conditionalFormatting sqref="L181:L191 L131:L147 L156:L172 L81:L97 L200:L210">
    <cfRule type="expression" dxfId="51" priority="53">
      <formula>$E81=0.5</formula>
    </cfRule>
    <cfRule type="expression" dxfId="50" priority="54">
      <formula>$E81=0</formula>
    </cfRule>
    <cfRule type="expression" dxfId="49" priority="55">
      <formula xml:space="preserve"> $E81 = 1</formula>
    </cfRule>
  </conditionalFormatting>
  <conditionalFormatting sqref="O81:O97">
    <cfRule type="cellIs" dxfId="48" priority="50" operator="lessThanOrEqual">
      <formula>$O$99</formula>
    </cfRule>
    <cfRule type="cellIs" dxfId="47" priority="51" operator="greaterThanOrEqual">
      <formula>$O$100</formula>
    </cfRule>
    <cfRule type="cellIs" dxfId="46" priority="52" operator="between">
      <formula>$O$99</formula>
      <formula>$O$100</formula>
    </cfRule>
  </conditionalFormatting>
  <conditionalFormatting sqref="O131:O147">
    <cfRule type="cellIs" dxfId="45" priority="44" operator="lessThanOrEqual">
      <formula>$O$149</formula>
    </cfRule>
    <cfRule type="cellIs" dxfId="44" priority="45" operator="greaterThanOrEqual">
      <formula>$O$150</formula>
    </cfRule>
    <cfRule type="cellIs" dxfId="43" priority="46" operator="between">
      <formula>$O$149</formula>
      <formula>$O$150</formula>
    </cfRule>
  </conditionalFormatting>
  <conditionalFormatting sqref="O156:O172">
    <cfRule type="cellIs" dxfId="42" priority="38" operator="lessThanOrEqual">
      <formula>$O$174</formula>
    </cfRule>
    <cfRule type="cellIs" dxfId="41" priority="39" operator="greaterThanOrEqual">
      <formula>$O$175</formula>
    </cfRule>
    <cfRule type="cellIs" dxfId="40" priority="40" operator="between">
      <formula>$O$174</formula>
      <formula>$O$175</formula>
    </cfRule>
  </conditionalFormatting>
  <conditionalFormatting sqref="O181:O191">
    <cfRule type="cellIs" dxfId="39" priority="32" operator="lessThanOrEqual">
      <formula>$O$193</formula>
    </cfRule>
    <cfRule type="cellIs" dxfId="38" priority="33" operator="greaterThanOrEqual">
      <formula>$O$194</formula>
    </cfRule>
    <cfRule type="cellIs" dxfId="37" priority="34" operator="between">
      <formula>$O$193</formula>
      <formula>$O$194</formula>
    </cfRule>
  </conditionalFormatting>
  <conditionalFormatting sqref="M31:M47">
    <cfRule type="cellIs" dxfId="36" priority="22" operator="greaterThanOrEqual">
      <formula>$M$49</formula>
    </cfRule>
    <cfRule type="cellIs" dxfId="35" priority="23" operator="lessThanOrEqual">
      <formula>$M$50</formula>
    </cfRule>
    <cfRule type="cellIs" dxfId="34" priority="24" operator="between">
      <formula>$M$50</formula>
      <formula>$M$49</formula>
    </cfRule>
  </conditionalFormatting>
  <conditionalFormatting sqref="M200:N210">
    <cfRule type="cellIs" dxfId="33" priority="21" operator="equal">
      <formula>"-"</formula>
    </cfRule>
  </conditionalFormatting>
  <conditionalFormatting sqref="M81:N97">
    <cfRule type="cellIs" dxfId="32" priority="17" operator="equal">
      <formula>"-"</formula>
    </cfRule>
  </conditionalFormatting>
  <conditionalFormatting sqref="M181:N191">
    <cfRule type="cellIs" dxfId="31" priority="20" operator="equal">
      <formula>"-"</formula>
    </cfRule>
  </conditionalFormatting>
  <conditionalFormatting sqref="M156:N172">
    <cfRule type="cellIs" dxfId="30" priority="19" operator="equal">
      <formula>"-"</formula>
    </cfRule>
  </conditionalFormatting>
  <conditionalFormatting sqref="M131:N147">
    <cfRule type="cellIs" dxfId="29" priority="18" operator="equal">
      <formula>"-"</formula>
    </cfRule>
  </conditionalFormatting>
  <conditionalFormatting sqref="M56:M72">
    <cfRule type="cellIs" dxfId="28" priority="14" operator="greaterThanOrEqual">
      <formula>$M$74</formula>
    </cfRule>
    <cfRule type="cellIs" dxfId="27" priority="15" operator="lessThanOrEqual">
      <formula>$M$75</formula>
    </cfRule>
    <cfRule type="cellIs" dxfId="26" priority="16" operator="between">
      <formula>$M$75</formula>
      <formula>$M$74</formula>
    </cfRule>
  </conditionalFormatting>
  <conditionalFormatting sqref="L56:L72">
    <cfRule type="cellIs" dxfId="25" priority="13" operator="equal">
      <formula>"-"</formula>
    </cfRule>
  </conditionalFormatting>
  <conditionalFormatting sqref="L31:L47">
    <cfRule type="cellIs" dxfId="24" priority="12" operator="equal">
      <formula>"-"</formula>
    </cfRule>
  </conditionalFormatting>
  <conditionalFormatting sqref="O200:O210">
    <cfRule type="cellIs" dxfId="23" priority="574" operator="equal">
      <formula>"-"</formula>
    </cfRule>
    <cfRule type="cellIs" dxfId="22" priority="575" operator="lessThanOrEqual">
      <formula>$O$212</formula>
    </cfRule>
    <cfRule type="cellIs" dxfId="21" priority="576" operator="greaterThanOrEqual">
      <formula>$O$213</formula>
    </cfRule>
    <cfRule type="cellIs" dxfId="20" priority="577" operator="between">
      <formula>$O$212</formula>
      <formula>$O$213</formula>
    </cfRule>
  </conditionalFormatting>
  <conditionalFormatting sqref="L6:L22">
    <cfRule type="cellIs" dxfId="19" priority="9" operator="greaterThanOrEqual">
      <formula>$L$24</formula>
    </cfRule>
    <cfRule type="cellIs" dxfId="18" priority="10" operator="lessThanOrEqual">
      <formula>$L$25</formula>
    </cfRule>
    <cfRule type="cellIs" dxfId="17" priority="11" operator="between">
      <formula>$L$25</formula>
      <formula>$L$24</formula>
    </cfRule>
  </conditionalFormatting>
  <conditionalFormatting sqref="L106:L122">
    <cfRule type="expression" dxfId="16" priority="5">
      <formula>$E106=0.5</formula>
    </cfRule>
    <cfRule type="expression" dxfId="15" priority="6">
      <formula>$E106=0</formula>
    </cfRule>
    <cfRule type="expression" dxfId="14" priority="7">
      <formula xml:space="preserve"> $E106 = 1</formula>
    </cfRule>
  </conditionalFormatting>
  <conditionalFormatting sqref="O106:O122">
    <cfRule type="cellIs" dxfId="13" priority="2" operator="lessThanOrEqual">
      <formula>$O$124</formula>
    </cfRule>
    <cfRule type="cellIs" dxfId="12" priority="3" operator="greaterThanOrEqual">
      <formula>$O$125</formula>
    </cfRule>
    <cfRule type="cellIs" dxfId="11" priority="4" operator="between">
      <formula>$O$124</formula>
      <formula>$O$125</formula>
    </cfRule>
  </conditionalFormatting>
  <conditionalFormatting sqref="M106:N122">
    <cfRule type="cellIs" dxfId="10" priority="1" operator="equal">
      <formula>"-"</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79998168889431442"/>
    <outlinePr summaryBelow="0"/>
  </sheetPr>
  <dimension ref="B2:S399"/>
  <sheetViews>
    <sheetView showGridLines="0" zoomScaleNormal="100" workbookViewId="0"/>
  </sheetViews>
  <sheetFormatPr defaultColWidth="9" defaultRowHeight="12.5" outlineLevelRow="1" x14ac:dyDescent="0.25"/>
  <cols>
    <col min="1" max="2" width="2.58203125" style="8" customWidth="1"/>
    <col min="3" max="3" width="10" style="8" customWidth="1"/>
    <col min="4" max="4" width="9" style="8"/>
    <col min="5" max="6" width="9" style="8" customWidth="1"/>
    <col min="7" max="12" width="9" style="8"/>
    <col min="13" max="19" width="9" style="8" customWidth="1"/>
    <col min="20" max="16384" width="9" style="8"/>
  </cols>
  <sheetData>
    <row r="2" spans="2:19" ht="13.5" x14ac:dyDescent="0.35">
      <c r="B2" s="9" t="s">
        <v>641</v>
      </c>
      <c r="C2" s="9"/>
      <c r="D2" s="10"/>
      <c r="E2" s="10"/>
      <c r="F2" s="10"/>
      <c r="G2" s="10"/>
      <c r="H2" s="10"/>
      <c r="I2" s="10"/>
      <c r="J2" s="10"/>
      <c r="K2" s="10"/>
      <c r="L2" s="9" t="s">
        <v>620</v>
      </c>
      <c r="M2" s="10"/>
      <c r="N2" s="10"/>
      <c r="O2" s="10"/>
      <c r="P2" s="10"/>
      <c r="Q2" s="10"/>
      <c r="R2" s="10"/>
      <c r="S2" s="10"/>
    </row>
    <row r="3" spans="2:19" outlineLevel="1" x14ac:dyDescent="0.25"/>
    <row r="4" spans="2:19" ht="13.5" outlineLevel="1" x14ac:dyDescent="0.35">
      <c r="B4" s="303" t="str">
        <f xml:space="preserve"> Year &amp; " incentive payments (£m)"</f>
        <v>2019-20 incentive payments (£m)</v>
      </c>
      <c r="C4" s="31"/>
      <c r="D4" s="31"/>
      <c r="E4" s="31"/>
      <c r="F4" s="31"/>
      <c r="G4" s="31"/>
      <c r="H4" s="31"/>
      <c r="I4" s="31"/>
      <c r="J4" s="31"/>
      <c r="K4" s="31"/>
      <c r="L4" s="31"/>
      <c r="M4" s="31"/>
      <c r="N4" s="31"/>
      <c r="O4" s="31"/>
      <c r="P4" s="31"/>
      <c r="Q4" s="31"/>
      <c r="R4" s="31"/>
      <c r="S4" s="31"/>
    </row>
    <row r="5" spans="2:19" outlineLevel="1" x14ac:dyDescent="0.25"/>
    <row r="6" spans="2:19" ht="37.5" outlineLevel="1" x14ac:dyDescent="0.25">
      <c r="C6" s="288" t="s">
        <v>640</v>
      </c>
      <c r="D6" s="288" t="s">
        <v>223</v>
      </c>
      <c r="E6" s="288" t="s">
        <v>162</v>
      </c>
      <c r="F6" s="288" t="s">
        <v>164</v>
      </c>
      <c r="G6" s="288" t="s">
        <v>166</v>
      </c>
      <c r="H6" s="288" t="s">
        <v>167</v>
      </c>
      <c r="I6" s="288" t="s">
        <v>643</v>
      </c>
      <c r="J6" s="288" t="s">
        <v>644</v>
      </c>
      <c r="K6" s="288" t="s">
        <v>175</v>
      </c>
      <c r="L6" s="288" t="s">
        <v>176</v>
      </c>
      <c r="M6" s="288" t="s">
        <v>177</v>
      </c>
      <c r="N6" s="288" t="s">
        <v>178</v>
      </c>
      <c r="O6" s="322" t="s">
        <v>151</v>
      </c>
    </row>
    <row r="7" spans="2:19" outlineLevel="1" x14ac:dyDescent="0.25">
      <c r="C7" s="81">
        <v>1</v>
      </c>
      <c r="D7" s="307" t="str">
        <f xml:space="preserve"> INDEX( CALCS│Outcomes!$C$375:$C$391, MATCH( $J7, CALCS│Outcomes!$L$375:$L$391, 0 ) )</f>
        <v>SVE</v>
      </c>
      <c r="E7" s="46">
        <f xml:space="preserve"> _xlfn.IFNA( VLOOKUP( $D7, INPUTS│Outcomes!$C$311:$L$329, MATCH( Year, INPUTS│Outcomes!$C$2:$L$2, 0 ), 0 ), 0 )</f>
        <v>-0.23167200000000002</v>
      </c>
      <c r="F7" s="46">
        <f xml:space="preserve"> _xlfn.IFNA( VLOOKUP( $D7, INPUTS│Outcomes!$C$333:$L$351, MATCH( Year, INPUTS│Outcomes!$C$2:$L$2, 0 ), 0 ), 0 )</f>
        <v>0.77383800000000003</v>
      </c>
      <c r="G7" s="46">
        <f xml:space="preserve"> _xlfn.IFNA( VLOOKUP( $D7, INPUTS│Outcomes!$C$355:$L$366, MATCH( Year, INPUTS│Outcomes!$C$2:$L$2, 0 ), 0 ), 0 )</f>
        <v>-11.51858</v>
      </c>
      <c r="H7" s="46">
        <f xml:space="preserve"> _xlfn.IFNA( VLOOKUP( $D7, INPUTS│Outcomes!$C$370:$L$381, MATCH( Year, INPUTS│Outcomes!$C$2:$L$2, 0 ), 0 ), 0 )</f>
        <v>1.617</v>
      </c>
      <c r="I7" s="46">
        <f xml:space="preserve"> _xlfn.IFNA( VLOOKUP( $D7, INPUTS│Outcomes!$C$385:$L$403, MATCH( Year, INPUTS│Outcomes!$C$2:$L$2, 0 ), 0 ), 0 )</f>
        <v>38.871636000000002</v>
      </c>
      <c r="J7" s="133">
        <f xml:space="preserve"> LARGE( CALCS│Outcomes!$L$375:$L$391, $C7 )</f>
        <v>29.512222000000001</v>
      </c>
    </row>
    <row r="8" spans="2:19" outlineLevel="1" x14ac:dyDescent="0.25">
      <c r="C8" s="81">
        <v>2</v>
      </c>
      <c r="D8" s="307" t="str">
        <f xml:space="preserve"> INDEX( CALCS│Outcomes!$C$375:$C$391, MATCH( $J8, CALCS│Outcomes!$L$375:$L$391, 0 ) )</f>
        <v>YKY</v>
      </c>
      <c r="E8" s="46">
        <f xml:space="preserve"> _xlfn.IFNA( VLOOKUP( $D8, INPUTS│Outcomes!$C$311:$L$329, MATCH( Year, INPUTS│Outcomes!$C$2:$L$2, 0 ), 0 ), 0 )</f>
        <v>0.16159999999999999</v>
      </c>
      <c r="F8" s="46">
        <f xml:space="preserve"> _xlfn.IFNA( VLOOKUP( $D8, INPUTS│Outcomes!$C$333:$L$351, MATCH( Year, INPUTS│Outcomes!$C$2:$L$2, 0 ), 0 ), 0 )</f>
        <v>10.226817</v>
      </c>
      <c r="G8" s="46">
        <f xml:space="preserve"> _xlfn.IFNA( VLOOKUP( $D8, INPUTS│Outcomes!$C$355:$L$366, MATCH( Year, INPUTS│Outcomes!$C$2:$L$2, 0 ), 0 ), 0 )</f>
        <v>9.0270290000000006</v>
      </c>
      <c r="H8" s="46">
        <f xml:space="preserve"> _xlfn.IFNA( VLOOKUP( $D8, INPUTS│Outcomes!$C$370:$L$381, MATCH( Year, INPUTS│Outcomes!$C$2:$L$2, 0 ), 0 ), 0 )</f>
        <v>9.6269159999999996</v>
      </c>
      <c r="I8" s="46">
        <f xml:space="preserve"> _xlfn.IFNA( VLOOKUP( $D8, INPUTS│Outcomes!$C$385:$L$403, MATCH( Year, INPUTS│Outcomes!$C$2:$L$2, 0 ), 0 ), 0 )</f>
        <v>-1.6632179999999999</v>
      </c>
      <c r="J8" s="133">
        <f xml:space="preserve"> LARGE( CALCS│Outcomes!$L$375:$L$391, $C8 )</f>
        <v>27.379144000000004</v>
      </c>
    </row>
    <row r="9" spans="2:19" outlineLevel="1" x14ac:dyDescent="0.25">
      <c r="C9" s="81">
        <v>3</v>
      </c>
      <c r="D9" s="307" t="str">
        <f xml:space="preserve"> INDEX( CALCS│Outcomes!$C$375:$C$391, MATCH( $J9, CALCS│Outcomes!$L$375:$L$391, 0 ) )</f>
        <v>UU</v>
      </c>
      <c r="E9" s="46">
        <f xml:space="preserve"> _xlfn.IFNA( VLOOKUP( $D9, INPUTS│Outcomes!$C$311:$L$329, MATCH( Year, INPUTS│Outcomes!$C$2:$L$2, 0 ), 0 ), 0 )</f>
        <v>4.0018000000000002</v>
      </c>
      <c r="F9" s="46">
        <f xml:space="preserve"> _xlfn.IFNA( VLOOKUP( $D9, INPUTS│Outcomes!$C$333:$L$351, MATCH( Year, INPUTS│Outcomes!$C$2:$L$2, 0 ), 0 ), 0 )</f>
        <v>7.2267000000000001</v>
      </c>
      <c r="G9" s="46">
        <f xml:space="preserve"> _xlfn.IFNA( VLOOKUP( $D9, INPUTS│Outcomes!$C$355:$L$366, MATCH( Year, INPUTS│Outcomes!$C$2:$L$2, 0 ), 0 ), 0 )</f>
        <v>-8.3312000000000008</v>
      </c>
      <c r="H9" s="46">
        <f xml:space="preserve"> _xlfn.IFNA( VLOOKUP( $D9, INPUTS│Outcomes!$C$370:$L$381, MATCH( Year, INPUTS│Outcomes!$C$2:$L$2, 0 ), 0 ), 0 )</f>
        <v>3.278</v>
      </c>
      <c r="I9" s="46">
        <f xml:space="preserve"> _xlfn.IFNA( VLOOKUP( $D9, INPUTS│Outcomes!$C$385:$L$403, MATCH( Year, INPUTS│Outcomes!$C$2:$L$2, 0 ), 0 ), 0 )</f>
        <v>10.2913</v>
      </c>
      <c r="J9" s="133">
        <f xml:space="preserve"> LARGE( CALCS│Outcomes!$L$375:$L$391, $C9 )</f>
        <v>16.4666</v>
      </c>
    </row>
    <row r="10" spans="2:19" outlineLevel="1" x14ac:dyDescent="0.25">
      <c r="C10" s="81">
        <v>4</v>
      </c>
      <c r="D10" s="307" t="str">
        <f xml:space="preserve"> INDEX( CALCS│Outcomes!$C$375:$C$391, MATCH( $J10, CALCS│Outcomes!$L$375:$L$391, 0 ) )</f>
        <v>WSX</v>
      </c>
      <c r="E10" s="46">
        <f xml:space="preserve"> _xlfn.IFNA( VLOOKUP( $D10, INPUTS│Outcomes!$C$311:$L$329, MATCH( Year, INPUTS│Outcomes!$C$2:$L$2, 0 ), 0 ), 0 )</f>
        <v>0.33</v>
      </c>
      <c r="F10" s="46">
        <f xml:space="preserve"> _xlfn.IFNA( VLOOKUP( $D10, INPUTS│Outcomes!$C$333:$L$351, MATCH( Year, INPUTS│Outcomes!$C$2:$L$2, 0 ), 0 ), 0 )</f>
        <v>2.8199999999999999E-2</v>
      </c>
      <c r="G10" s="46">
        <f xml:space="preserve"> _xlfn.IFNA( VLOOKUP( $D10, INPUTS│Outcomes!$C$355:$L$366, MATCH( Year, INPUTS│Outcomes!$C$2:$L$2, 0 ), 0 ), 0 )</f>
        <v>5.508</v>
      </c>
      <c r="H10" s="46">
        <f xml:space="preserve"> _xlfn.IFNA( VLOOKUP( $D10, INPUTS│Outcomes!$C$370:$L$381, MATCH( Year, INPUTS│Outcomes!$C$2:$L$2, 0 ), 0 ), 0 )</f>
        <v>0</v>
      </c>
      <c r="I10" s="46">
        <f xml:space="preserve"> _xlfn.IFNA( VLOOKUP( $D10, INPUTS│Outcomes!$C$385:$L$403, MATCH( Year, INPUTS│Outcomes!$C$2:$L$2, 0 ), 0 ), 0 )</f>
        <v>-0.17200000000000001</v>
      </c>
      <c r="J10" s="133">
        <f xml:space="preserve"> LARGE( CALCS│Outcomes!$L$375:$L$391, $C10 )</f>
        <v>5.6942000000000004</v>
      </c>
    </row>
    <row r="11" spans="2:19" outlineLevel="1" x14ac:dyDescent="0.25">
      <c r="C11" s="81">
        <v>5</v>
      </c>
      <c r="D11" s="307" t="str">
        <f xml:space="preserve"> INDEX( CALCS│Outcomes!$C$375:$C$391, MATCH( $J11, CALCS│Outcomes!$L$375:$L$391, 0 ) )</f>
        <v>SWB</v>
      </c>
      <c r="E11" s="46">
        <f xml:space="preserve"> _xlfn.IFNA( VLOOKUP( $D11, INPUTS│Outcomes!$C$311:$L$329, MATCH( Year, INPUTS│Outcomes!$C$2:$L$2, 0 ), 0 ), 0 )</f>
        <v>0.62080000000000002</v>
      </c>
      <c r="F11" s="46">
        <f xml:space="preserve"> _xlfn.IFNA( VLOOKUP( $D11, INPUTS│Outcomes!$C$333:$L$351, MATCH( Year, INPUTS│Outcomes!$C$2:$L$2, 0 ), 0 ), 0 )</f>
        <v>6.5030000000000004E-2</v>
      </c>
      <c r="G11" s="46">
        <f xml:space="preserve"> _xlfn.IFNA( VLOOKUP( $D11, INPUTS│Outcomes!$C$355:$L$366, MATCH( Year, INPUTS│Outcomes!$C$2:$L$2, 0 ), 0 ), 0 )</f>
        <v>0</v>
      </c>
      <c r="H11" s="46">
        <f xml:space="preserve"> _xlfn.IFNA( VLOOKUP( $D11, INPUTS│Outcomes!$C$370:$L$381, MATCH( Year, INPUTS│Outcomes!$C$2:$L$2, 0 ), 0 ), 0 )</f>
        <v>-1.1312</v>
      </c>
      <c r="I11" s="46">
        <f xml:space="preserve"> _xlfn.IFNA( VLOOKUP( $D11, INPUTS│Outcomes!$C$385:$L$403, MATCH( Year, INPUTS│Outcomes!$C$2:$L$2, 0 ), 0 ), 0 )</f>
        <v>2.4831300000000001</v>
      </c>
      <c r="J11" s="133">
        <f xml:space="preserve"> LARGE( CALCS│Outcomes!$L$375:$L$391, $C11 )</f>
        <v>2.03776</v>
      </c>
    </row>
    <row r="12" spans="2:19" outlineLevel="1" x14ac:dyDescent="0.25">
      <c r="C12" s="81">
        <v>6</v>
      </c>
      <c r="D12" s="307" t="str">
        <f xml:space="preserve"> INDEX( CALCS│Outcomes!$C$375:$C$391, MATCH( $J12, CALCS│Outcomes!$L$375:$L$391, 0 ) )</f>
        <v>BRL</v>
      </c>
      <c r="E12" s="46">
        <f xml:space="preserve"> _xlfn.IFNA( VLOOKUP( $D12, INPUTS│Outcomes!$C$311:$L$329, MATCH( Year, INPUTS│Outcomes!$C$2:$L$2, 0 ), 0 ), 0 )</f>
        <v>1.9843999999999999</v>
      </c>
      <c r="F12" s="46">
        <f xml:space="preserve"> _xlfn.IFNA( VLOOKUP( $D12, INPUTS│Outcomes!$C$333:$L$351, MATCH( Year, INPUTS│Outcomes!$C$2:$L$2, 0 ), 0 ), 0 )</f>
        <v>0</v>
      </c>
      <c r="G12" s="46">
        <f xml:space="preserve"> _xlfn.IFNA( VLOOKUP( $D12, INPUTS│Outcomes!$C$355:$L$366, MATCH( Year, INPUTS│Outcomes!$C$2:$L$2, 0 ), 0 ), 0 )</f>
        <v>0</v>
      </c>
      <c r="H12" s="46">
        <f xml:space="preserve"> _xlfn.IFNA( VLOOKUP( $D12, INPUTS│Outcomes!$C$370:$L$381, MATCH( Year, INPUTS│Outcomes!$C$2:$L$2, 0 ), 0 ), 0 )</f>
        <v>0</v>
      </c>
      <c r="I12" s="46">
        <f xml:space="preserve"> _xlfn.IFNA( VLOOKUP( $D12, INPUTS│Outcomes!$C$385:$L$403, MATCH( Year, INPUTS│Outcomes!$C$2:$L$2, 0 ), 0 ), 0 )</f>
        <v>-0.152</v>
      </c>
      <c r="J12" s="133">
        <f xml:space="preserve"> LARGE( CALCS│Outcomes!$L$375:$L$391, $C12 )</f>
        <v>1.8324</v>
      </c>
    </row>
    <row r="13" spans="2:19" outlineLevel="1" x14ac:dyDescent="0.25">
      <c r="C13" s="81">
        <v>7</v>
      </c>
      <c r="D13" s="307" t="str">
        <f xml:space="preserve"> INDEX( CALCS│Outcomes!$C$375:$C$391, MATCH( $J13, CALCS│Outcomes!$L$375:$L$391, 0 ) )</f>
        <v>SSC</v>
      </c>
      <c r="E13" s="46">
        <f xml:space="preserve"> _xlfn.IFNA( VLOOKUP( $D13, INPUTS│Outcomes!$C$311:$L$329, MATCH( Year, INPUTS│Outcomes!$C$2:$L$2, 0 ), 0 ), 0 )</f>
        <v>0</v>
      </c>
      <c r="F13" s="46">
        <f xml:space="preserve"> _xlfn.IFNA( VLOOKUP( $D13, INPUTS│Outcomes!$C$333:$L$351, MATCH( Year, INPUTS│Outcomes!$C$2:$L$2, 0 ), 0 ), 0 )</f>
        <v>0.90600000000000003</v>
      </c>
      <c r="G13" s="46">
        <f xml:space="preserve"> _xlfn.IFNA( VLOOKUP( $D13, INPUTS│Outcomes!$C$355:$L$366, MATCH( Year, INPUTS│Outcomes!$C$2:$L$2, 0 ), 0 ), 0 )</f>
        <v>0</v>
      </c>
      <c r="H13" s="46">
        <f xml:space="preserve"> _xlfn.IFNA( VLOOKUP( $D13, INPUTS│Outcomes!$C$370:$L$381, MATCH( Year, INPUTS│Outcomes!$C$2:$L$2, 0 ), 0 ), 0 )</f>
        <v>0</v>
      </c>
      <c r="I13" s="46">
        <f xml:space="preserve"> _xlfn.IFNA( VLOOKUP( $D13, INPUTS│Outcomes!$C$385:$L$403, MATCH( Year, INPUTS│Outcomes!$C$2:$L$2, 0 ), 0 ), 0 )</f>
        <v>4.8399999999999999E-2</v>
      </c>
      <c r="J13" s="133">
        <f xml:space="preserve"> LARGE( CALCS│Outcomes!$L$375:$L$391, $C13 )</f>
        <v>0.95440000000000003</v>
      </c>
    </row>
    <row r="14" spans="2:19" outlineLevel="1" x14ac:dyDescent="0.25">
      <c r="C14" s="81">
        <v>8</v>
      </c>
      <c r="D14" s="307" t="str">
        <f xml:space="preserve"> INDEX( CALCS│Outcomes!$C$375:$C$391, MATCH( $J14, CALCS│Outcomes!$L$375:$L$391, 0 ) )</f>
        <v>SEW</v>
      </c>
      <c r="E14" s="46">
        <f xml:space="preserve"> _xlfn.IFNA( VLOOKUP( $D14, INPUTS│Outcomes!$C$311:$L$329, MATCH( Year, INPUTS│Outcomes!$C$2:$L$2, 0 ), 0 ), 0 )</f>
        <v>0.22049999999999642</v>
      </c>
      <c r="F14" s="46">
        <f xml:space="preserve"> _xlfn.IFNA( VLOOKUP( $D14, INPUTS│Outcomes!$C$333:$L$351, MATCH( Year, INPUTS│Outcomes!$C$2:$L$2, 0 ), 0 ), 0 )</f>
        <v>0.26600000000000001</v>
      </c>
      <c r="G14" s="46">
        <f xml:space="preserve"> _xlfn.IFNA( VLOOKUP( $D14, INPUTS│Outcomes!$C$355:$L$366, MATCH( Year, INPUTS│Outcomes!$C$2:$L$2, 0 ), 0 ), 0 )</f>
        <v>0</v>
      </c>
      <c r="H14" s="46">
        <f xml:space="preserve"> _xlfn.IFNA( VLOOKUP( $D14, INPUTS│Outcomes!$C$370:$L$381, MATCH( Year, INPUTS│Outcomes!$C$2:$L$2, 0 ), 0 ), 0 )</f>
        <v>0</v>
      </c>
      <c r="I14" s="46">
        <f xml:space="preserve"> _xlfn.IFNA( VLOOKUP( $D14, INPUTS│Outcomes!$C$385:$L$403, MATCH( Year, INPUTS│Outcomes!$C$2:$L$2, 0 ), 0 ), 0 )</f>
        <v>-9.6879999999999432E-3</v>
      </c>
      <c r="J14" s="133">
        <f xml:space="preserve"> LARGE( CALCS│Outcomes!$L$375:$L$391, $C14 )</f>
        <v>0.47681199999999652</v>
      </c>
    </row>
    <row r="15" spans="2:19" outlineLevel="1" x14ac:dyDescent="0.25">
      <c r="C15" s="81">
        <v>9</v>
      </c>
      <c r="D15" s="307" t="str">
        <f xml:space="preserve"> INDEX( CALCS│Outcomes!$C$375:$C$391, MATCH( $J15, CALCS│Outcomes!$L$375:$L$391, 0 ) )</f>
        <v>SES</v>
      </c>
      <c r="E15" s="46">
        <f xml:space="preserve"> _xlfn.IFNA( VLOOKUP( $D15, INPUTS│Outcomes!$C$311:$L$329, MATCH( Year, INPUTS│Outcomes!$C$2:$L$2, 0 ), 0 ), 0 )</f>
        <v>0</v>
      </c>
      <c r="F15" s="46">
        <f xml:space="preserve"> _xlfn.IFNA( VLOOKUP( $D15, INPUTS│Outcomes!$C$333:$L$351, MATCH( Year, INPUTS│Outcomes!$C$2:$L$2, 0 ), 0 ), 0 )</f>
        <v>0.36</v>
      </c>
      <c r="G15" s="46">
        <f xml:space="preserve"> _xlfn.IFNA( VLOOKUP( $D15, INPUTS│Outcomes!$C$355:$L$366, MATCH( Year, INPUTS│Outcomes!$C$2:$L$2, 0 ), 0 ), 0 )</f>
        <v>0</v>
      </c>
      <c r="H15" s="46">
        <f xml:space="preserve"> _xlfn.IFNA( VLOOKUP( $D15, INPUTS│Outcomes!$C$370:$L$381, MATCH( Year, INPUTS│Outcomes!$C$2:$L$2, 0 ), 0 ), 0 )</f>
        <v>0</v>
      </c>
      <c r="I15" s="46">
        <f xml:space="preserve"> _xlfn.IFNA( VLOOKUP( $D15, INPUTS│Outcomes!$C$385:$L$403, MATCH( Year, INPUTS│Outcomes!$C$2:$L$2, 0 ), 0 ), 0 )</f>
        <v>-0.14000000000000001</v>
      </c>
      <c r="J15" s="133">
        <f xml:space="preserve"> LARGE( CALCS│Outcomes!$L$375:$L$391, $C15 )</f>
        <v>0.21999999999999997</v>
      </c>
    </row>
    <row r="16" spans="2:19" outlineLevel="1" x14ac:dyDescent="0.25">
      <c r="C16" s="81">
        <v>10</v>
      </c>
      <c r="D16" s="307" t="str">
        <f xml:space="preserve"> INDEX( CALCS│Outcomes!$C$375:$C$391, MATCH( $J16, CALCS│Outcomes!$L$375:$L$391, 0 ) )</f>
        <v>NES</v>
      </c>
      <c r="E16" s="46">
        <f xml:space="preserve"> _xlfn.IFNA( VLOOKUP( $D16, INPUTS│Outcomes!$C$311:$L$329, MATCH( Year, INPUTS│Outcomes!$C$2:$L$2, 0 ), 0 ), 0 )</f>
        <v>0</v>
      </c>
      <c r="F16" s="46">
        <f xml:space="preserve"> _xlfn.IFNA( VLOOKUP( $D16, INPUTS│Outcomes!$C$333:$L$351, MATCH( Year, INPUTS│Outcomes!$C$2:$L$2, 0 ), 0 ), 0 )</f>
        <v>0</v>
      </c>
      <c r="G16" s="46">
        <f xml:space="preserve"> _xlfn.IFNA( VLOOKUP( $D16, INPUTS│Outcomes!$C$355:$L$366, MATCH( Year, INPUTS│Outcomes!$C$2:$L$2, 0 ), 0 ), 0 )</f>
        <v>0.61099999999999999</v>
      </c>
      <c r="H16" s="46">
        <f xml:space="preserve"> _xlfn.IFNA( VLOOKUP( $D16, INPUTS│Outcomes!$C$370:$L$381, MATCH( Year, INPUTS│Outcomes!$C$2:$L$2, 0 ), 0 ), 0 )</f>
        <v>0.27200000000000002</v>
      </c>
      <c r="I16" s="46">
        <f xml:space="preserve"> _xlfn.IFNA( VLOOKUP( $D16, INPUTS│Outcomes!$C$385:$L$403, MATCH( Year, INPUTS│Outcomes!$C$2:$L$2, 0 ), 0 ), 0 )</f>
        <v>-1.0727500000000003</v>
      </c>
      <c r="J16" s="133">
        <f xml:space="preserve"> LARGE( CALCS│Outcomes!$L$375:$L$391, $C16 )</f>
        <v>-0.18975000000000031</v>
      </c>
    </row>
    <row r="17" spans="3:19" outlineLevel="1" x14ac:dyDescent="0.25">
      <c r="C17" s="81">
        <v>11</v>
      </c>
      <c r="D17" s="307" t="str">
        <f xml:space="preserve"> INDEX( CALCS│Outcomes!$C$375:$C$391, MATCH( $J17, CALCS│Outcomes!$L$375:$L$391, 0 ) )</f>
        <v>HDD</v>
      </c>
      <c r="E17" s="46">
        <f xml:space="preserve"> _xlfn.IFNA( VLOOKUP( $D17, INPUTS│Outcomes!$C$311:$L$329, MATCH( Year, INPUTS│Outcomes!$C$2:$L$2, 0 ), 0 ), 0 )</f>
        <v>0</v>
      </c>
      <c r="F17" s="46">
        <f xml:space="preserve"> _xlfn.IFNA( VLOOKUP( $D17, INPUTS│Outcomes!$C$333:$L$351, MATCH( Year, INPUTS│Outcomes!$C$2:$L$2, 0 ), 0 ), 0 )</f>
        <v>-0.123791</v>
      </c>
      <c r="G17" s="46">
        <f xml:space="preserve"> _xlfn.IFNA( VLOOKUP( $D17, INPUTS│Outcomes!$C$355:$L$366, MATCH( Year, INPUTS│Outcomes!$C$2:$L$2, 0 ), 0 ), 0 )</f>
        <v>-0.12845999999999999</v>
      </c>
      <c r="H17" s="46">
        <f xml:space="preserve"> _xlfn.IFNA( VLOOKUP( $D17, INPUTS│Outcomes!$C$370:$L$381, MATCH( Year, INPUTS│Outcomes!$C$2:$L$2, 0 ), 0 ), 0 )</f>
        <v>0</v>
      </c>
      <c r="I17" s="46">
        <f xml:space="preserve"> _xlfn.IFNA( VLOOKUP( $D17, INPUTS│Outcomes!$C$385:$L$403, MATCH( Year, INPUTS│Outcomes!$C$2:$L$2, 0 ), 0 ), 0 )</f>
        <v>-0.19573400000000002</v>
      </c>
      <c r="J17" s="133">
        <f xml:space="preserve"> LARGE( CALCS│Outcomes!$L$375:$L$391, $C17 )</f>
        <v>-0.44798500000000002</v>
      </c>
    </row>
    <row r="18" spans="3:19" outlineLevel="1" x14ac:dyDescent="0.25">
      <c r="C18" s="81">
        <v>12</v>
      </c>
      <c r="D18" s="307" t="str">
        <f xml:space="preserve"> INDEX( CALCS│Outcomes!$C$375:$C$391, MATCH( $J18, CALCS│Outcomes!$L$375:$L$391, 0 ) )</f>
        <v>PRT</v>
      </c>
      <c r="E18" s="46">
        <f xml:space="preserve"> _xlfn.IFNA( VLOOKUP( $D18, INPUTS│Outcomes!$C$311:$L$329, MATCH( Year, INPUTS│Outcomes!$C$2:$L$2, 0 ), 0 ), 0 )</f>
        <v>7.5999999999999998E-2</v>
      </c>
      <c r="F18" s="46">
        <f xml:space="preserve"> _xlfn.IFNA( VLOOKUP( $D18, INPUTS│Outcomes!$C$333:$L$351, MATCH( Year, INPUTS│Outcomes!$C$2:$L$2, 0 ), 0 ), 0 )</f>
        <v>7.2999999999999995E-2</v>
      </c>
      <c r="G18" s="46">
        <f xml:space="preserve"> _xlfn.IFNA( VLOOKUP( $D18, INPUTS│Outcomes!$C$355:$L$366, MATCH( Year, INPUTS│Outcomes!$C$2:$L$2, 0 ), 0 ), 0 )</f>
        <v>0</v>
      </c>
      <c r="H18" s="46">
        <f xml:space="preserve"> _xlfn.IFNA( VLOOKUP( $D18, INPUTS│Outcomes!$C$370:$L$381, MATCH( Year, INPUTS│Outcomes!$C$2:$L$2, 0 ), 0 ), 0 )</f>
        <v>0</v>
      </c>
      <c r="I18" s="46">
        <f xml:space="preserve"> _xlfn.IFNA( VLOOKUP( $D18, INPUTS│Outcomes!$C$385:$L$403, MATCH( Year, INPUTS│Outcomes!$C$2:$L$2, 0 ), 0 ), 0 )</f>
        <v>-1.0329999999999999</v>
      </c>
      <c r="J18" s="133">
        <f xml:space="preserve"> LARGE( CALCS│Outcomes!$L$375:$L$391, $C18 )</f>
        <v>-0.8839999999999999</v>
      </c>
    </row>
    <row r="19" spans="3:19" outlineLevel="1" x14ac:dyDescent="0.25">
      <c r="C19" s="81">
        <v>13</v>
      </c>
      <c r="D19" s="307" t="str">
        <f xml:space="preserve"> INDEX( CALCS│Outcomes!$C$375:$C$391, MATCH( $J19, CALCS│Outcomes!$L$375:$L$391, 0 ) )</f>
        <v>AFW</v>
      </c>
      <c r="E19" s="46">
        <f xml:space="preserve"> _xlfn.IFNA( VLOOKUP( $D19, INPUTS│Outcomes!$C$311:$L$329, MATCH( Year, INPUTS│Outcomes!$C$2:$L$2, 0 ), 0 ), 0 )</f>
        <v>1.26E-2</v>
      </c>
      <c r="F19" s="46">
        <f xml:space="preserve"> _xlfn.IFNA( VLOOKUP( $D19, INPUTS│Outcomes!$C$333:$L$351, MATCH( Year, INPUTS│Outcomes!$C$2:$L$2, 0 ), 0 ), 0 )</f>
        <v>0</v>
      </c>
      <c r="G19" s="46">
        <f xml:space="preserve"> _xlfn.IFNA( VLOOKUP( $D19, INPUTS│Outcomes!$C$355:$L$366, MATCH( Year, INPUTS│Outcomes!$C$2:$L$2, 0 ), 0 ), 0 )</f>
        <v>0</v>
      </c>
      <c r="H19" s="46">
        <f xml:space="preserve"> _xlfn.IFNA( VLOOKUP( $D19, INPUTS│Outcomes!$C$370:$L$381, MATCH( Year, INPUTS│Outcomes!$C$2:$L$2, 0 ), 0 ), 0 )</f>
        <v>0</v>
      </c>
      <c r="I19" s="46">
        <f xml:space="preserve"> _xlfn.IFNA( VLOOKUP( $D19, INPUTS│Outcomes!$C$385:$L$403, MATCH( Year, INPUTS│Outcomes!$C$2:$L$2, 0 ), 0 ), 0 )</f>
        <v>-1.75</v>
      </c>
      <c r="J19" s="133">
        <f xml:space="preserve"> LARGE( CALCS│Outcomes!$L$375:$L$391, $C19 )</f>
        <v>-1.7374000000000001</v>
      </c>
    </row>
    <row r="20" spans="3:19" outlineLevel="1" x14ac:dyDescent="0.25">
      <c r="C20" s="81">
        <v>14</v>
      </c>
      <c r="D20" s="307" t="str">
        <f xml:space="preserve"> INDEX( CALCS│Outcomes!$C$375:$C$391, MATCH( $J20, CALCS│Outcomes!$L$375:$L$391, 0 ) )</f>
        <v>SRN</v>
      </c>
      <c r="E20" s="46">
        <f xml:space="preserve"> _xlfn.IFNA( VLOOKUP( $D20, INPUTS│Outcomes!$C$311:$L$329, MATCH( Year, INPUTS│Outcomes!$C$2:$L$2, 0 ), 0 ), 0 )</f>
        <v>-2.7374000000000001</v>
      </c>
      <c r="F20" s="46">
        <f xml:space="preserve"> _xlfn.IFNA( VLOOKUP( $D20, INPUTS│Outcomes!$C$333:$L$351, MATCH( Year, INPUTS│Outcomes!$C$2:$L$2, 0 ), 0 ), 0 )</f>
        <v>0</v>
      </c>
      <c r="G20" s="46">
        <f xml:space="preserve"> _xlfn.IFNA( VLOOKUP( $D20, INPUTS│Outcomes!$C$355:$L$366, MATCH( Year, INPUTS│Outcomes!$C$2:$L$2, 0 ), 0 ), 0 )</f>
        <v>0</v>
      </c>
      <c r="H20" s="46">
        <f xml:space="preserve"> _xlfn.IFNA( VLOOKUP( $D20, INPUTS│Outcomes!$C$370:$L$381, MATCH( Year, INPUTS│Outcomes!$C$2:$L$2, 0 ), 0 ), 0 )</f>
        <v>-2.16</v>
      </c>
      <c r="I20" s="46">
        <f xml:space="preserve"> _xlfn.IFNA( VLOOKUP( $D20, INPUTS│Outcomes!$C$385:$L$403, MATCH( Year, INPUTS│Outcomes!$C$2:$L$2, 0 ), 0 ), 0 )</f>
        <v>2.0969000000000002</v>
      </c>
      <c r="J20" s="133">
        <f xml:space="preserve"> LARGE( CALCS│Outcomes!$L$375:$L$391, $C20 )</f>
        <v>-2.8005</v>
      </c>
    </row>
    <row r="21" spans="3:19" outlineLevel="1" x14ac:dyDescent="0.25">
      <c r="C21" s="81">
        <v>15</v>
      </c>
      <c r="D21" s="307" t="str">
        <f xml:space="preserve"> INDEX( CALCS│Outcomes!$C$375:$C$391, MATCH( $J21, CALCS│Outcomes!$L$375:$L$391, 0 ) )</f>
        <v>WSH</v>
      </c>
      <c r="E21" s="46">
        <f xml:space="preserve"> _xlfn.IFNA( VLOOKUP( $D21, INPUTS│Outcomes!$C$311:$L$329, MATCH( Year, INPUTS│Outcomes!$C$2:$L$2, 0 ), 0 ), 0 )</f>
        <v>0</v>
      </c>
      <c r="F21" s="46">
        <f xml:space="preserve"> _xlfn.IFNA( VLOOKUP( $D21, INPUTS│Outcomes!$C$333:$L$351, MATCH( Year, INPUTS│Outcomes!$C$2:$L$2, 0 ), 0 ), 0 )</f>
        <v>-0.52649999999999997</v>
      </c>
      <c r="G21" s="46">
        <f xml:space="preserve"> _xlfn.IFNA( VLOOKUP( $D21, INPUTS│Outcomes!$C$355:$L$366, MATCH( Year, INPUTS│Outcomes!$C$2:$L$2, 0 ), 0 ), 0 )</f>
        <v>1.1779999999999999</v>
      </c>
      <c r="H21" s="46">
        <f xml:space="preserve"> _xlfn.IFNA( VLOOKUP( $D21, INPUTS│Outcomes!$C$370:$L$381, MATCH( Year, INPUTS│Outcomes!$C$2:$L$2, 0 ), 0 ), 0 )</f>
        <v>0.51700000000000002</v>
      </c>
      <c r="I21" s="46">
        <f xml:space="preserve"> _xlfn.IFNA( VLOOKUP( $D21, INPUTS│Outcomes!$C$385:$L$403, MATCH( Year, INPUTS│Outcomes!$C$2:$L$2, 0 ), 0 ), 0 )</f>
        <v>-4.3600000000000003</v>
      </c>
      <c r="J21" s="133">
        <f xml:space="preserve"> LARGE( CALCS│Outcomes!$L$375:$L$391, $C21 )</f>
        <v>-3.1915000000000004</v>
      </c>
    </row>
    <row r="22" spans="3:19" outlineLevel="1" x14ac:dyDescent="0.25">
      <c r="C22" s="81">
        <v>16</v>
      </c>
      <c r="D22" s="307" t="str">
        <f xml:space="preserve"> INDEX( CALCS│Outcomes!$C$375:$C$391, MATCH( $J22, CALCS│Outcomes!$L$375:$L$391, 0 ) )</f>
        <v>ANH</v>
      </c>
      <c r="E22" s="46">
        <f xml:space="preserve"> _xlfn.IFNA( VLOOKUP( $D22, INPUTS│Outcomes!$C$311:$L$329, MATCH( Year, INPUTS│Outcomes!$C$2:$L$2, 0 ), 0 ), 0 )</f>
        <v>3.605</v>
      </c>
      <c r="F22" s="46">
        <f xml:space="preserve"> _xlfn.IFNA( VLOOKUP( $D22, INPUTS│Outcomes!$C$333:$L$351, MATCH( Year, INPUTS│Outcomes!$C$2:$L$2, 0 ), 0 ), 0 )</f>
        <v>-8.5619999999999994</v>
      </c>
      <c r="G22" s="46">
        <f xml:space="preserve"> _xlfn.IFNA( VLOOKUP( $D22, INPUTS│Outcomes!$C$355:$L$366, MATCH( Year, INPUTS│Outcomes!$C$2:$L$2, 0 ), 0 ), 0 )</f>
        <v>8.64</v>
      </c>
      <c r="H22" s="46">
        <f xml:space="preserve"> _xlfn.IFNA( VLOOKUP( $D22, INPUTS│Outcomes!$C$370:$L$381, MATCH( Year, INPUTS│Outcomes!$C$2:$L$2, 0 ), 0 ), 0 )</f>
        <v>1.254</v>
      </c>
      <c r="I22" s="46">
        <f xml:space="preserve"> _xlfn.IFNA( VLOOKUP( $D22, INPUTS│Outcomes!$C$385:$L$403, MATCH( Year, INPUTS│Outcomes!$C$2:$L$2, 0 ), 0 ), 0 )</f>
        <v>-13.166799999999999</v>
      </c>
      <c r="J22" s="133">
        <f xml:space="preserve"> LARGE( CALCS│Outcomes!$L$375:$L$391, $C22 )</f>
        <v>-8.2297999999999973</v>
      </c>
    </row>
    <row r="23" spans="3:19" outlineLevel="1" x14ac:dyDescent="0.25">
      <c r="C23" s="81">
        <v>17</v>
      </c>
      <c r="D23" s="307" t="str">
        <f xml:space="preserve"> INDEX( CALCS│Outcomes!$C$375:$C$391, MATCH( $J23, CALCS│Outcomes!$L$375:$L$391, 0 ) )</f>
        <v>TMS</v>
      </c>
      <c r="E23" s="46">
        <f xml:space="preserve"> _xlfn.IFNA( VLOOKUP( $D23, INPUTS│Outcomes!$C$311:$L$329, MATCH( Year, INPUTS│Outcomes!$C$2:$L$2, 0 ), 0 ), 0 )</f>
        <v>0</v>
      </c>
      <c r="F23" s="46">
        <f xml:space="preserve"> _xlfn.IFNA( VLOOKUP( $D23, INPUTS│Outcomes!$C$333:$L$351, MATCH( Year, INPUTS│Outcomes!$C$2:$L$2, 0 ), 0 ), 0 )</f>
        <v>3.125</v>
      </c>
      <c r="G23" s="46">
        <f xml:space="preserve"> _xlfn.IFNA( VLOOKUP( $D23, INPUTS│Outcomes!$C$355:$L$366, MATCH( Year, INPUTS│Outcomes!$C$2:$L$2, 0 ), 0 ), 0 )</f>
        <v>1.4850000000000001</v>
      </c>
      <c r="H23" s="46">
        <f xml:space="preserve"> _xlfn.IFNA( VLOOKUP( $D23, INPUTS│Outcomes!$C$370:$L$381, MATCH( Year, INPUTS│Outcomes!$C$2:$L$2, 0 ), 0 ), 0 )</f>
        <v>0</v>
      </c>
      <c r="I23" s="46">
        <f xml:space="preserve"> _xlfn.IFNA( VLOOKUP( $D23, INPUTS│Outcomes!$C$385:$L$403, MATCH( Year, INPUTS│Outcomes!$C$2:$L$2, 0 ), 0 ), 0 )</f>
        <v>-133.78614000000002</v>
      </c>
      <c r="J23" s="133">
        <f xml:space="preserve"> LARGE( CALCS│Outcomes!$L$375:$L$391, $C23 )</f>
        <v>-129.17614</v>
      </c>
    </row>
    <row r="24" spans="3:19" outlineLevel="1" x14ac:dyDescent="0.25">
      <c r="E24" s="132"/>
    </row>
    <row r="25" spans="3:19" outlineLevel="1" x14ac:dyDescent="0.25">
      <c r="D25" s="8" t="s">
        <v>645</v>
      </c>
      <c r="E25" s="132"/>
      <c r="K25" s="46">
        <f xml:space="preserve"> CALCS│Outcomes!H393</f>
        <v>31.688269106078121</v>
      </c>
    </row>
    <row r="26" spans="3:19" outlineLevel="1" x14ac:dyDescent="0.25">
      <c r="D26" s="8" t="s">
        <v>646</v>
      </c>
      <c r="E26" s="132"/>
      <c r="L26" s="46">
        <f xml:space="preserve"> CALCS│Outcomes!I393</f>
        <v>58.961326542521626</v>
      </c>
    </row>
    <row r="27" spans="3:19" outlineLevel="1" x14ac:dyDescent="0.25">
      <c r="D27" s="8" t="s">
        <v>647</v>
      </c>
      <c r="E27" s="132"/>
      <c r="M27" s="46">
        <f xml:space="preserve"> CALCS│Outcomes!J393</f>
        <v>44.447184402499964</v>
      </c>
    </row>
    <row r="28" spans="3:19" outlineLevel="1" x14ac:dyDescent="0.25">
      <c r="D28" s="8" t="s">
        <v>648</v>
      </c>
      <c r="E28" s="132"/>
      <c r="N28" s="46">
        <f xml:space="preserve"> CALCS│Outcomes!K393</f>
        <v>-23.061781520000011</v>
      </c>
    </row>
    <row r="29" spans="3:19" outlineLevel="1" x14ac:dyDescent="0.25">
      <c r="D29" s="8" t="s">
        <v>691</v>
      </c>
      <c r="E29" s="132"/>
      <c r="O29" s="46">
        <f xml:space="preserve"> CALCS│Outcomes!L393</f>
        <v>-62.083537000000007</v>
      </c>
    </row>
    <row r="30" spans="3:19" outlineLevel="1" x14ac:dyDescent="0.25">
      <c r="E30" s="132"/>
    </row>
    <row r="31" spans="3:19" s="83" customFormat="1" ht="13.5" outlineLevel="1" x14ac:dyDescent="0.35">
      <c r="C31" s="164" t="str">
        <f xml:space="preserve"> Year &amp; " incentive payments (£m)"</f>
        <v>2019-20 incentive payments (£m)</v>
      </c>
      <c r="D31" s="163"/>
      <c r="E31" s="163"/>
      <c r="F31" s="163"/>
      <c r="G31" s="163"/>
      <c r="H31" s="163"/>
      <c r="I31" s="163"/>
      <c r="J31" s="163"/>
      <c r="K31" s="163"/>
      <c r="L31" s="163"/>
      <c r="M31" s="163"/>
      <c r="N31" s="163"/>
      <c r="O31" s="163"/>
      <c r="P31" s="163"/>
      <c r="Q31" s="163"/>
      <c r="R31" s="163"/>
      <c r="S31" s="163"/>
    </row>
    <row r="32" spans="3:19" outlineLevel="1" x14ac:dyDescent="0.25">
      <c r="E32" s="132"/>
    </row>
    <row r="33" spans="5:5" outlineLevel="1" x14ac:dyDescent="0.25">
      <c r="E33" s="132"/>
    </row>
    <row r="34" spans="5:5" outlineLevel="1" x14ac:dyDescent="0.25">
      <c r="E34" s="132"/>
    </row>
    <row r="35" spans="5:5" outlineLevel="1" x14ac:dyDescent="0.25">
      <c r="E35" s="132"/>
    </row>
    <row r="36" spans="5:5" outlineLevel="1" x14ac:dyDescent="0.25">
      <c r="E36" s="132"/>
    </row>
    <row r="37" spans="5:5" outlineLevel="1" x14ac:dyDescent="0.25">
      <c r="E37" s="132"/>
    </row>
    <row r="38" spans="5:5" outlineLevel="1" x14ac:dyDescent="0.25">
      <c r="E38" s="132"/>
    </row>
    <row r="39" spans="5:5" outlineLevel="1" x14ac:dyDescent="0.25">
      <c r="E39" s="132"/>
    </row>
    <row r="40" spans="5:5" outlineLevel="1" x14ac:dyDescent="0.25">
      <c r="E40" s="132"/>
    </row>
    <row r="41" spans="5:5" outlineLevel="1" x14ac:dyDescent="0.25">
      <c r="E41" s="132"/>
    </row>
    <row r="42" spans="5:5" outlineLevel="1" x14ac:dyDescent="0.25">
      <c r="E42" s="132"/>
    </row>
    <row r="43" spans="5:5" outlineLevel="1" x14ac:dyDescent="0.25">
      <c r="E43" s="132"/>
    </row>
    <row r="44" spans="5:5" outlineLevel="1" x14ac:dyDescent="0.25">
      <c r="E44" s="132"/>
    </row>
    <row r="45" spans="5:5" outlineLevel="1" x14ac:dyDescent="0.25">
      <c r="E45" s="132"/>
    </row>
    <row r="46" spans="5:5" outlineLevel="1" x14ac:dyDescent="0.25">
      <c r="E46" s="132"/>
    </row>
    <row r="47" spans="5:5" outlineLevel="1" x14ac:dyDescent="0.25">
      <c r="E47" s="132"/>
    </row>
    <row r="48" spans="5:5" outlineLevel="1" x14ac:dyDescent="0.25">
      <c r="E48" s="132"/>
    </row>
    <row r="49" spans="2:19" outlineLevel="1" x14ac:dyDescent="0.25">
      <c r="E49" s="132"/>
    </row>
    <row r="50" spans="2:19" outlineLevel="1" x14ac:dyDescent="0.25">
      <c r="E50" s="132"/>
    </row>
    <row r="51" spans="2:19" ht="13.5" outlineLevel="1" x14ac:dyDescent="0.35">
      <c r="B51" s="303" t="s">
        <v>663</v>
      </c>
      <c r="C51" s="31"/>
      <c r="D51" s="31"/>
      <c r="E51" s="31"/>
      <c r="F51" s="31"/>
      <c r="G51" s="31"/>
      <c r="H51" s="31"/>
      <c r="I51" s="31"/>
      <c r="J51" s="31"/>
      <c r="K51" s="31"/>
      <c r="L51" s="31"/>
      <c r="M51" s="31"/>
      <c r="N51" s="31"/>
      <c r="O51" s="31"/>
      <c r="P51" s="31"/>
      <c r="Q51" s="31"/>
      <c r="R51" s="31"/>
      <c r="S51" s="31"/>
    </row>
    <row r="52" spans="2:19" outlineLevel="1" x14ac:dyDescent="0.25">
      <c r="E52" s="132"/>
    </row>
    <row r="53" spans="2:19" ht="25.15" customHeight="1" outlineLevel="1" x14ac:dyDescent="0.25">
      <c r="C53" s="288" t="s">
        <v>640</v>
      </c>
      <c r="D53" s="288" t="s">
        <v>223</v>
      </c>
      <c r="E53" s="288" t="s">
        <v>649</v>
      </c>
    </row>
    <row r="54" spans="2:19" outlineLevel="1" x14ac:dyDescent="0.25">
      <c r="C54" s="81">
        <v>1</v>
      </c>
      <c r="D54" s="171" t="str">
        <f xml:space="preserve"> INDEX( CALCS│Outcomes!$C$419:$C$435, MATCH( $E54, CALCS│Outcomes!$N$419:$N$435, 0 ) )</f>
        <v>SVE</v>
      </c>
      <c r="E54" s="224">
        <f xml:space="preserve"> LARGE( CALCS│Outcomes!$N$419:$N$435, $C54 )</f>
        <v>9.9063498340866956E-3</v>
      </c>
    </row>
    <row r="55" spans="2:19" outlineLevel="1" x14ac:dyDescent="0.25">
      <c r="C55" s="81">
        <v>2</v>
      </c>
      <c r="D55" s="171" t="str">
        <f xml:space="preserve"> INDEX( CALCS│Outcomes!$C$419:$C$435, MATCH( $E55, CALCS│Outcomes!$N$419:$N$435, 0 ) )</f>
        <v>YKY</v>
      </c>
      <c r="E55" s="224">
        <f xml:space="preserve"> LARGE( CALCS│Outcomes!$N$419:$N$435, $C55 )</f>
        <v>6.0320274696741335E-3</v>
      </c>
    </row>
    <row r="56" spans="2:19" outlineLevel="1" x14ac:dyDescent="0.25">
      <c r="C56" s="81">
        <v>3</v>
      </c>
      <c r="D56" s="171" t="str">
        <f xml:space="preserve"> INDEX( CALCS│Outcomes!$C$419:$C$435, MATCH( $E56, CALCS│Outcomes!$N$419:$N$435, 0 ) )</f>
        <v>WSX</v>
      </c>
      <c r="E56" s="224">
        <f xml:space="preserve"> LARGE( CALCS│Outcomes!$N$419:$N$435, $C56 )</f>
        <v>5.0157913389172947E-3</v>
      </c>
    </row>
    <row r="57" spans="2:19" outlineLevel="1" x14ac:dyDescent="0.25">
      <c r="C57" s="81">
        <v>4</v>
      </c>
      <c r="D57" s="171" t="str">
        <f xml:space="preserve"> INDEX( CALCS│Outcomes!$C$419:$C$435, MATCH( $E57, CALCS│Outcomes!$N$419:$N$435, 0 ) )</f>
        <v>SSC</v>
      </c>
      <c r="E57" s="224">
        <f xml:space="preserve"> LARGE( CALCS│Outcomes!$N$419:$N$435, $C57 )</f>
        <v>3.8368363182527351E-3</v>
      </c>
    </row>
    <row r="58" spans="2:19" outlineLevel="1" x14ac:dyDescent="0.25">
      <c r="C58" s="81">
        <v>5</v>
      </c>
      <c r="D58" s="171" t="str">
        <f xml:space="preserve"> INDEX( CALCS│Outcomes!$C$419:$C$435, MATCH( $E58, CALCS│Outcomes!$N$419:$N$435, 0 ) )</f>
        <v>ANH</v>
      </c>
      <c r="E58" s="224">
        <f xml:space="preserve"> LARGE( CALCS│Outcomes!$N$419:$N$435, $C58 )</f>
        <v>2.6808110874685849E-3</v>
      </c>
    </row>
    <row r="59" spans="2:19" outlineLevel="1" x14ac:dyDescent="0.25">
      <c r="C59" s="81">
        <v>6</v>
      </c>
      <c r="D59" s="171" t="str">
        <f xml:space="preserve"> INDEX( CALCS│Outcomes!$C$419:$C$435, MATCH( $E59, CALCS│Outcomes!$N$419:$N$435, 0 ) )</f>
        <v>UU</v>
      </c>
      <c r="E59" s="224">
        <f xml:space="preserve"> LARGE( CALCS│Outcomes!$N$419:$N$435, $C59 )</f>
        <v>2.0937104212888397E-3</v>
      </c>
    </row>
    <row r="60" spans="2:19" outlineLevel="1" x14ac:dyDescent="0.25">
      <c r="C60" s="81">
        <v>7</v>
      </c>
      <c r="D60" s="171" t="str">
        <f xml:space="preserve"> INDEX( CALCS│Outcomes!$C$419:$C$435, MATCH( $E60, CALCS│Outcomes!$N$419:$N$435, 0 ) )</f>
        <v>SES</v>
      </c>
      <c r="E60" s="224">
        <f xml:space="preserve"> LARGE( CALCS│Outcomes!$N$419:$N$435, $C60 )</f>
        <v>1.9079032905353877E-3</v>
      </c>
    </row>
    <row r="61" spans="2:19" outlineLevel="1" x14ac:dyDescent="0.25">
      <c r="C61" s="81">
        <v>8</v>
      </c>
      <c r="D61" s="171" t="str">
        <f xml:space="preserve"> INDEX( CALCS│Outcomes!$C$419:$C$435, MATCH( $E61, CALCS│Outcomes!$N$419:$N$435, 0 ) )</f>
        <v>SWB</v>
      </c>
      <c r="E61" s="224">
        <f xml:space="preserve"> LARGE( CALCS│Outcomes!$N$419:$N$435, $C61 )</f>
        <v>1.5070456905371709E-3</v>
      </c>
    </row>
    <row r="62" spans="2:19" outlineLevel="1" x14ac:dyDescent="0.25">
      <c r="C62" s="81">
        <v>9</v>
      </c>
      <c r="D62" s="171" t="str">
        <f xml:space="preserve"> INDEX( CALCS│Outcomes!$C$419:$C$435, MATCH( $E62, CALCS│Outcomes!$N$419:$N$435, 0 ) )</f>
        <v>NES</v>
      </c>
      <c r="E62" s="224">
        <f xml:space="preserve"> LARGE( CALCS│Outcomes!$N$419:$N$435, $C62 )</f>
        <v>1.4354494815112305E-3</v>
      </c>
    </row>
    <row r="63" spans="2:19" outlineLevel="1" x14ac:dyDescent="0.25">
      <c r="C63" s="81">
        <v>10</v>
      </c>
      <c r="D63" s="171" t="str">
        <f xml:space="preserve"> INDEX( CALCS│Outcomes!$C$419:$C$435, MATCH( $E63, CALCS│Outcomes!$N$419:$N$435, 0 ) )</f>
        <v>WSH</v>
      </c>
      <c r="E63" s="224">
        <f xml:space="preserve"> LARGE( CALCS│Outcomes!$N$419:$N$435, $C63 )</f>
        <v>-3.5092824715068905E-4</v>
      </c>
    </row>
    <row r="64" spans="2:19" outlineLevel="1" x14ac:dyDescent="0.25">
      <c r="C64" s="81">
        <v>11</v>
      </c>
      <c r="D64" s="171" t="str">
        <f xml:space="preserve"> INDEX( CALCS│Outcomes!$C$419:$C$435, MATCH( $E64, CALCS│Outcomes!$N$419:$N$435, 0 ) )</f>
        <v>SEW</v>
      </c>
      <c r="E64" s="224">
        <f xml:space="preserve"> LARGE( CALCS│Outcomes!$N$419:$N$435, $C64 )</f>
        <v>-3.855923431067246E-4</v>
      </c>
    </row>
    <row r="65" spans="2:19" outlineLevel="1" x14ac:dyDescent="0.25">
      <c r="C65" s="81">
        <v>12</v>
      </c>
      <c r="D65" s="171" t="str">
        <f xml:space="preserve"> INDEX( CALCS│Outcomes!$C$419:$C$435, MATCH( $E65, CALCS│Outcomes!$N$419:$N$435, 0 ) )</f>
        <v>SRN</v>
      </c>
      <c r="E65" s="224">
        <f xml:space="preserve"> LARGE( CALCS│Outcomes!$N$419:$N$435, $C65 )</f>
        <v>-6.1839050924436837E-4</v>
      </c>
    </row>
    <row r="66" spans="2:19" outlineLevel="1" x14ac:dyDescent="0.25">
      <c r="C66" s="81">
        <v>13</v>
      </c>
      <c r="D66" s="171" t="str">
        <f xml:space="preserve"> INDEX( CALCS│Outcomes!$C$419:$C$435, MATCH( $E66, CALCS│Outcomes!$N$419:$N$435, 0 ) )</f>
        <v>BRL</v>
      </c>
      <c r="E66" s="224">
        <f xml:space="preserve"> LARGE( CALCS│Outcomes!$N$419:$N$435, $C66 )</f>
        <v>-6.2525684976133351E-3</v>
      </c>
    </row>
    <row r="67" spans="2:19" outlineLevel="1" x14ac:dyDescent="0.25">
      <c r="C67" s="81">
        <v>14</v>
      </c>
      <c r="D67" s="171" t="str">
        <f xml:space="preserve"> INDEX( CALCS│Outcomes!$C$419:$C$435, MATCH( $E67, CALCS│Outcomes!$N$419:$N$435, 0 ) )</f>
        <v>HDD</v>
      </c>
      <c r="E67" s="224">
        <f xml:space="preserve"> LARGE( CALCS│Outcomes!$N$419:$N$435, $C67 )</f>
        <v>-6.5412805626205118E-3</v>
      </c>
    </row>
    <row r="68" spans="2:19" outlineLevel="1" x14ac:dyDescent="0.25">
      <c r="C68" s="81">
        <v>15</v>
      </c>
      <c r="D68" s="171" t="str">
        <f xml:space="preserve"> INDEX( CALCS│Outcomes!$C$419:$C$435, MATCH( $E68, CALCS│Outcomes!$N$419:$N$435, 0 ) )</f>
        <v>AFW</v>
      </c>
      <c r="E68" s="224">
        <f xml:space="preserve"> LARGE( CALCS│Outcomes!$N$419:$N$435, $C68 )</f>
        <v>-6.8859095511013997E-3</v>
      </c>
    </row>
    <row r="69" spans="2:19" outlineLevel="1" x14ac:dyDescent="0.25">
      <c r="C69" s="81">
        <v>16</v>
      </c>
      <c r="D69" s="171" t="str">
        <f xml:space="preserve"> INDEX( CALCS│Outcomes!$C$419:$C$435, MATCH( $E69, CALCS│Outcomes!$N$419:$N$435, 0 ) )</f>
        <v>PRT</v>
      </c>
      <c r="E69" s="224">
        <f xml:space="preserve"> LARGE( CALCS│Outcomes!$N$419:$N$435, $C69 )</f>
        <v>-8.088745087882326E-3</v>
      </c>
    </row>
    <row r="70" spans="2:19" outlineLevel="1" x14ac:dyDescent="0.25">
      <c r="C70" s="81">
        <v>17</v>
      </c>
      <c r="D70" s="171" t="str">
        <f xml:space="preserve"> INDEX( CALCS│Outcomes!$C$419:$C$435, MATCH( $E70, CALCS│Outcomes!$N$419:$N$435, 0 ) )</f>
        <v>TMS</v>
      </c>
      <c r="E70" s="224">
        <f xml:space="preserve"> LARGE( CALCS│Outcomes!$N$419:$N$435, $C70 )</f>
        <v>-1.0933627526232578E-2</v>
      </c>
    </row>
    <row r="71" spans="2:19" outlineLevel="1" x14ac:dyDescent="0.25">
      <c r="D71" s="76" t="s">
        <v>424</v>
      </c>
      <c r="E71" s="306">
        <f>CALCS│Outcomes!N437</f>
        <v>4.2239362742027521E-4</v>
      </c>
    </row>
    <row r="72" spans="2:19" outlineLevel="1" x14ac:dyDescent="0.25">
      <c r="E72" s="132"/>
    </row>
    <row r="73" spans="2:19" ht="13.5" outlineLevel="1" x14ac:dyDescent="0.35">
      <c r="B73" s="303" t="s">
        <v>664</v>
      </c>
      <c r="C73" s="31"/>
      <c r="D73" s="31"/>
      <c r="E73" s="31"/>
      <c r="F73" s="31"/>
      <c r="G73" s="31"/>
      <c r="H73" s="31"/>
      <c r="I73" s="31"/>
      <c r="J73" s="31"/>
      <c r="K73" s="31"/>
      <c r="L73" s="31"/>
      <c r="M73" s="31"/>
      <c r="N73" s="31"/>
      <c r="O73" s="31"/>
      <c r="P73" s="31"/>
      <c r="Q73" s="31"/>
      <c r="R73" s="31"/>
      <c r="S73" s="31"/>
    </row>
    <row r="74" spans="2:19" outlineLevel="1" x14ac:dyDescent="0.25">
      <c r="E74" s="132"/>
    </row>
    <row r="75" spans="2:19" ht="25.15" customHeight="1" outlineLevel="1" x14ac:dyDescent="0.25">
      <c r="C75" s="293" t="s">
        <v>640</v>
      </c>
      <c r="D75" s="293" t="s">
        <v>223</v>
      </c>
      <c r="E75" s="293" t="s">
        <v>127</v>
      </c>
    </row>
    <row r="76" spans="2:19" outlineLevel="1" x14ac:dyDescent="0.25">
      <c r="C76" s="81">
        <v>1</v>
      </c>
      <c r="D76" s="171" t="str">
        <f xml:space="preserve"> INDEX( CALCS│Outcomes!$C$442:$C$458, MATCH( $E76, CALCS│Outcomes!$N$442:$N$458, 0 ) )</f>
        <v>ANH</v>
      </c>
      <c r="E76" s="311">
        <f xml:space="preserve"> LARGE( CALCS│Outcomes!$N$442:$N$458, C76 )</f>
        <v>18.237772</v>
      </c>
    </row>
    <row r="77" spans="2:19" outlineLevel="1" x14ac:dyDescent="0.25">
      <c r="C77" s="81">
        <v>2</v>
      </c>
      <c r="D77" s="171" t="str">
        <f xml:space="preserve"> INDEX( CALCS│Outcomes!$C$442:$C$458, MATCH( $E77, CALCS│Outcomes!$N$442:$N$458, 0 ) )</f>
        <v>WSX</v>
      </c>
      <c r="E77" s="311">
        <f xml:space="preserve"> LARGE( CALCS│Outcomes!$N$442:$N$458, C77 )</f>
        <v>7.1101896131620004</v>
      </c>
    </row>
    <row r="78" spans="2:19" outlineLevel="1" x14ac:dyDescent="0.25">
      <c r="C78" s="81">
        <v>3</v>
      </c>
      <c r="D78" s="171" t="str">
        <f xml:space="preserve"> INDEX( CALCS│Outcomes!$C$442:$C$458, MATCH( $E78, CALCS│Outcomes!$N$442:$N$458, 0 ) )</f>
        <v>UU</v>
      </c>
      <c r="E78" s="311">
        <f xml:space="preserve"> LARGE( CALCS│Outcomes!$N$442:$N$458, C78 )</f>
        <v>6.1266149999999993</v>
      </c>
    </row>
    <row r="79" spans="2:19" outlineLevel="1" x14ac:dyDescent="0.25">
      <c r="C79" s="81">
        <v>4</v>
      </c>
      <c r="D79" s="171" t="str">
        <f xml:space="preserve"> INDEX( CALCS│Outcomes!$C$442:$C$458, MATCH( $E79, CALCS│Outcomes!$N$442:$N$458, 0 ) )</f>
        <v>NES</v>
      </c>
      <c r="E79" s="311">
        <f xml:space="preserve"> LARGE( CALCS│Outcomes!$N$442:$N$458, C79 )</f>
        <v>5.5836249999999996</v>
      </c>
    </row>
    <row r="80" spans="2:19" outlineLevel="1" x14ac:dyDescent="0.25">
      <c r="C80" s="81">
        <v>5</v>
      </c>
      <c r="D80" s="171" t="str">
        <f xml:space="preserve"> INDEX( CALCS│Outcomes!$C$442:$C$458, MATCH( $E80, CALCS│Outcomes!$N$442:$N$458, 0 ) )</f>
        <v>SSC</v>
      </c>
      <c r="E80" s="311">
        <f xml:space="preserve"> LARGE( CALCS│Outcomes!$N$442:$N$458, C80 )</f>
        <v>1.5750175610064048</v>
      </c>
    </row>
    <row r="81" spans="2:19" outlineLevel="1" x14ac:dyDescent="0.25">
      <c r="C81" s="81">
        <v>6</v>
      </c>
      <c r="D81" s="171" t="str">
        <f xml:space="preserve"> INDEX( CALCS│Outcomes!$C$442:$C$458, MATCH( $E81, CALCS│Outcomes!$N$442:$N$458, 0 ) )</f>
        <v>PRT</v>
      </c>
      <c r="E81" s="311">
        <f xml:space="preserve"> LARGE( CALCS│Outcomes!$N$442:$N$458, C81 )</f>
        <v>1.4105999999999999</v>
      </c>
    </row>
    <row r="82" spans="2:19" outlineLevel="1" x14ac:dyDescent="0.25">
      <c r="C82" s="81">
        <v>7</v>
      </c>
      <c r="D82" s="171" t="str">
        <f xml:space="preserve"> INDEX( CALCS│Outcomes!$C$442:$C$458, MATCH( $E82, CALCS│Outcomes!$N$442:$N$458, 0 ) )</f>
        <v>BRL</v>
      </c>
      <c r="E82" s="311">
        <f xml:space="preserve"> LARGE( CALCS│Outcomes!$N$442:$N$458, C82 )</f>
        <v>8.3903999999999992E-2</v>
      </c>
    </row>
    <row r="83" spans="2:19" outlineLevel="1" x14ac:dyDescent="0.25">
      <c r="C83" s="81">
        <v>8</v>
      </c>
      <c r="D83" s="171" t="str">
        <f xml:space="preserve"> INDEX( CALCS│Outcomes!$C$442:$C$458, MATCH( $E83, CALCS│Outcomes!$N$442:$N$458, 0 ) )</f>
        <v>HDD</v>
      </c>
      <c r="E83" s="311">
        <f xml:space="preserve"> LARGE( CALCS│Outcomes!$N$442:$N$458, C83 )</f>
        <v>-0.27434239560000001</v>
      </c>
    </row>
    <row r="84" spans="2:19" outlineLevel="1" x14ac:dyDescent="0.25">
      <c r="C84" s="81">
        <v>9</v>
      </c>
      <c r="D84" s="171" t="str">
        <f xml:space="preserve"> INDEX( CALCS│Outcomes!$C$442:$C$458, MATCH( $E84, CALCS│Outcomes!$N$442:$N$458, 0 ) )</f>
        <v>SEW</v>
      </c>
      <c r="E84" s="311">
        <f xml:space="preserve"> LARGE( CALCS│Outcomes!$N$442:$N$458, C84 )</f>
        <v>-0.49983749999999999</v>
      </c>
    </row>
    <row r="85" spans="2:19" outlineLevel="1" x14ac:dyDescent="0.25">
      <c r="C85" s="81">
        <v>10</v>
      </c>
      <c r="D85" s="171" t="str">
        <f xml:space="preserve"> INDEX( CALCS│Outcomes!$C$442:$C$458, MATCH( $E85, CALCS│Outcomes!$N$442:$N$458, 0 ) )</f>
        <v>WSH</v>
      </c>
      <c r="E85" s="311">
        <f xml:space="preserve"> LARGE( CALCS│Outcomes!$N$442:$N$458, C85 )</f>
        <v>-0.97904400000000003</v>
      </c>
    </row>
    <row r="86" spans="2:19" outlineLevel="1" x14ac:dyDescent="0.25">
      <c r="C86" s="81">
        <v>11</v>
      </c>
      <c r="D86" s="171" t="str">
        <f xml:space="preserve"> INDEX( CALCS│Outcomes!$C$442:$C$458, MATCH( $E86, CALCS│Outcomes!$N$442:$N$458, 0 ) )</f>
        <v>SES</v>
      </c>
      <c r="E86" s="311">
        <f xml:space="preserve"> LARGE( CALCS│Outcomes!$N$442:$N$458, C86 )</f>
        <v>-2.2188350000000003</v>
      </c>
    </row>
    <row r="87" spans="2:19" outlineLevel="1" x14ac:dyDescent="0.25">
      <c r="C87" s="81">
        <v>12</v>
      </c>
      <c r="D87" s="171" t="str">
        <f xml:space="preserve"> INDEX( CALCS│Outcomes!$C$442:$C$458, MATCH( $E87, CALCS│Outcomes!$N$442:$N$458, 0 ) )</f>
        <v>SWB</v>
      </c>
      <c r="E87" s="311">
        <f xml:space="preserve"> LARGE( CALCS│Outcomes!$N$442:$N$458, C87 )</f>
        <v>-2.9046070000000004</v>
      </c>
    </row>
    <row r="88" spans="2:19" outlineLevel="1" x14ac:dyDescent="0.25">
      <c r="C88" s="81">
        <v>13</v>
      </c>
      <c r="D88" s="171" t="str">
        <f xml:space="preserve"> INDEX( CALCS│Outcomes!$C$442:$C$458, MATCH( $E88, CALCS│Outcomes!$N$442:$N$458, 0 ) )</f>
        <v>YKY</v>
      </c>
      <c r="E88" s="311">
        <f xml:space="preserve"> LARGE( CALCS│Outcomes!$N$442:$N$458, C88 )</f>
        <v>-5.5257157188099502</v>
      </c>
    </row>
    <row r="89" spans="2:19" outlineLevel="1" x14ac:dyDescent="0.25">
      <c r="C89" s="81">
        <v>14</v>
      </c>
      <c r="D89" s="171" t="str">
        <f xml:space="preserve"> INDEX( CALCS│Outcomes!$C$442:$C$458, MATCH( $E89, CALCS│Outcomes!$N$442:$N$458, 0 ) )</f>
        <v>AFW</v>
      </c>
      <c r="E89" s="311">
        <f xml:space="preserve"> LARGE( CALCS│Outcomes!$N$442:$N$458, C89 )</f>
        <v>-11.191876000000001</v>
      </c>
    </row>
    <row r="90" spans="2:19" outlineLevel="1" x14ac:dyDescent="0.25">
      <c r="C90" s="81">
        <v>15</v>
      </c>
      <c r="D90" s="171" t="str">
        <f xml:space="preserve"> INDEX( CALCS│Outcomes!$C$442:$C$458, MATCH( $E90, CALCS│Outcomes!$N$442:$N$458, 0 ) )</f>
        <v>SVE</v>
      </c>
      <c r="E90" s="311">
        <f xml:space="preserve"> LARGE( CALCS│Outcomes!$N$442:$N$458, C90 )</f>
        <v>-15.325003604400001</v>
      </c>
    </row>
    <row r="91" spans="2:19" outlineLevel="1" x14ac:dyDescent="0.25">
      <c r="C91" s="81">
        <v>16</v>
      </c>
      <c r="D91" s="171" t="str">
        <f xml:space="preserve"> INDEX( CALCS│Outcomes!$C$442:$C$458, MATCH( $E91, CALCS│Outcomes!$N$442:$N$458, 0 ) )</f>
        <v>SRN</v>
      </c>
      <c r="E91" s="311">
        <f xml:space="preserve"> LARGE( CALCS│Outcomes!$N$442:$N$458, C91 )</f>
        <v>-32.351117500000001</v>
      </c>
    </row>
    <row r="92" spans="2:19" outlineLevel="1" x14ac:dyDescent="0.25">
      <c r="C92" s="81">
        <v>17</v>
      </c>
      <c r="D92" s="171" t="str">
        <f xml:space="preserve"> INDEX( CALCS│Outcomes!$C$442:$C$458, MATCH( $E92, CALCS│Outcomes!$N$442:$N$458, 0 ) )</f>
        <v>TMS</v>
      </c>
      <c r="E92" s="311">
        <f xml:space="preserve"> LARGE( CALCS│Outcomes!$N$442:$N$458, C92 )</f>
        <v>-100.9746</v>
      </c>
    </row>
    <row r="93" spans="2:19" outlineLevel="1" x14ac:dyDescent="0.25">
      <c r="D93" s="76" t="s">
        <v>424</v>
      </c>
      <c r="E93" s="100">
        <f xml:space="preserve"> CALCS│Outcomes!N460</f>
        <v>-132.11725554464158</v>
      </c>
    </row>
    <row r="94" spans="2:19" outlineLevel="1" x14ac:dyDescent="0.25">
      <c r="E94" s="132"/>
    </row>
    <row r="95" spans="2:19" ht="13.5" outlineLevel="1" x14ac:dyDescent="0.35">
      <c r="B95" s="303" t="s">
        <v>668</v>
      </c>
      <c r="C95" s="31"/>
      <c r="D95" s="31"/>
      <c r="E95" s="31"/>
      <c r="F95" s="31"/>
      <c r="G95" s="31"/>
      <c r="H95" s="31"/>
      <c r="I95" s="31"/>
      <c r="J95" s="31"/>
      <c r="K95" s="31"/>
      <c r="L95" s="31"/>
      <c r="M95" s="31"/>
      <c r="N95" s="31"/>
      <c r="O95" s="31"/>
      <c r="P95" s="31"/>
      <c r="Q95" s="31"/>
      <c r="R95" s="31"/>
      <c r="S95" s="31"/>
    </row>
    <row r="96" spans="2:19" outlineLevel="1" x14ac:dyDescent="0.25">
      <c r="E96" s="132"/>
    </row>
    <row r="97" spans="3:5" ht="25.15" customHeight="1" outlineLevel="1" x14ac:dyDescent="0.25">
      <c r="C97" s="293" t="s">
        <v>640</v>
      </c>
      <c r="D97" s="293" t="s">
        <v>223</v>
      </c>
      <c r="E97" s="293" t="s">
        <v>127</v>
      </c>
    </row>
    <row r="98" spans="3:5" outlineLevel="1" x14ac:dyDescent="0.25">
      <c r="C98" s="81">
        <v>1</v>
      </c>
      <c r="D98" s="171" t="str">
        <f xml:space="preserve"> INDEX( CALCS│Outcomes!$C$442:$C$458, MATCH( $E98, CALCS│Outcomes!$O$442:$O$458, 0 ) )</f>
        <v>PRT</v>
      </c>
      <c r="E98" s="224">
        <f xml:space="preserve"> LARGE( CALCS│Outcomes!$O$442:$O$458, C98 )</f>
        <v>3.0163804284923334E-2</v>
      </c>
    </row>
    <row r="99" spans="3:5" outlineLevel="1" x14ac:dyDescent="0.25">
      <c r="C99" s="81">
        <v>2</v>
      </c>
      <c r="D99" s="171" t="str">
        <f xml:space="preserve"> INDEX( CALCS│Outcomes!$C$442:$C$458, MATCH( $E99, CALCS│Outcomes!$O$442:$O$458, 0 ) )</f>
        <v>SSC</v>
      </c>
      <c r="E99" s="224">
        <f xml:space="preserve"> LARGE( CALCS│Outcomes!$O$442:$O$458, C99 )</f>
        <v>1.3172446556985478E-2</v>
      </c>
    </row>
    <row r="100" spans="3:5" outlineLevel="1" x14ac:dyDescent="0.25">
      <c r="C100" s="81">
        <v>3</v>
      </c>
      <c r="D100" s="171" t="str">
        <f xml:space="preserve"> INDEX( CALCS│Outcomes!$C$442:$C$458, MATCH( $E100, CALCS│Outcomes!$O$442:$O$458, 0 ) )</f>
        <v>ANH</v>
      </c>
      <c r="E100" s="224">
        <f xml:space="preserve"> LARGE( CALCS│Outcomes!$O$442:$O$458, C100 )</f>
        <v>7.2612919468671997E-3</v>
      </c>
    </row>
    <row r="101" spans="3:5" outlineLevel="1" x14ac:dyDescent="0.25">
      <c r="C101" s="81">
        <v>4</v>
      </c>
      <c r="D101" s="171" t="str">
        <f xml:space="preserve"> INDEX( CALCS│Outcomes!$C$442:$C$458, MATCH( $E101, CALCS│Outcomes!$O$442:$O$458, 0 ) )</f>
        <v>WSX</v>
      </c>
      <c r="E101" s="224">
        <f xml:space="preserve"> LARGE( CALCS│Outcomes!$O$442:$O$458, C101 )</f>
        <v>7.0275969763490681E-3</v>
      </c>
    </row>
    <row r="102" spans="3:5" outlineLevel="1" x14ac:dyDescent="0.25">
      <c r="C102" s="81">
        <v>5</v>
      </c>
      <c r="D102" s="171" t="str">
        <f xml:space="preserve"> INDEX( CALCS│Outcomes!$C$442:$C$458, MATCH( $E102, CALCS│Outcomes!$O$442:$O$458, 0 ) )</f>
        <v>NES</v>
      </c>
      <c r="E102" s="224">
        <f xml:space="preserve"> LARGE( CALCS│Outcomes!$O$442:$O$458, C102 )</f>
        <v>4.087310543972638E-3</v>
      </c>
    </row>
    <row r="103" spans="3:5" outlineLevel="1" x14ac:dyDescent="0.25">
      <c r="C103" s="81">
        <v>6</v>
      </c>
      <c r="D103" s="171" t="str">
        <f xml:space="preserve"> INDEX( CALCS│Outcomes!$C$442:$C$458, MATCH( $E103, CALCS│Outcomes!$O$442:$O$458, 0 ) )</f>
        <v>UU</v>
      </c>
      <c r="E103" s="224">
        <f xml:space="preserve"> LARGE( CALCS│Outcomes!$O$442:$O$458, C103 )</f>
        <v>1.691526001382332E-3</v>
      </c>
    </row>
    <row r="104" spans="3:5" outlineLevel="1" x14ac:dyDescent="0.25">
      <c r="C104" s="81">
        <v>7</v>
      </c>
      <c r="D104" s="171" t="str">
        <f xml:space="preserve"> INDEX( CALCS│Outcomes!$C$442:$C$458, MATCH( $E104, CALCS│Outcomes!$O$442:$O$458, 0 ) )</f>
        <v>BRL</v>
      </c>
      <c r="E104" s="224">
        <f xml:space="preserve"> LARGE( CALCS│Outcomes!$O$442:$O$458, C104 )</f>
        <v>5.1458117432442291E-4</v>
      </c>
    </row>
    <row r="105" spans="3:5" outlineLevel="1" x14ac:dyDescent="0.25">
      <c r="C105" s="81">
        <v>8</v>
      </c>
      <c r="D105" s="171" t="str">
        <f xml:space="preserve"> INDEX( CALCS│Outcomes!$C$442:$C$458, MATCH( $E105, CALCS│Outcomes!$O$442:$O$458, 0 ) )</f>
        <v>WSH</v>
      </c>
      <c r="E105" s="224">
        <f xml:space="preserve"> LARGE( CALCS│Outcomes!$O$442:$O$458, C105 )</f>
        <v>-5.473541417928934E-4</v>
      </c>
    </row>
    <row r="106" spans="3:5" outlineLevel="1" x14ac:dyDescent="0.25">
      <c r="C106" s="81">
        <v>9</v>
      </c>
      <c r="D106" s="171" t="str">
        <f xml:space="preserve"> INDEX( CALCS│Outcomes!$C$442:$C$458, MATCH( $E106, CALCS│Outcomes!$O$442:$O$458, 0 ) )</f>
        <v>SEW</v>
      </c>
      <c r="E106" s="224">
        <f xml:space="preserve"> LARGE( CALCS│Outcomes!$O$442:$O$458, C106 )</f>
        <v>-1.1774074279381702E-3</v>
      </c>
    </row>
    <row r="107" spans="3:5" outlineLevel="1" x14ac:dyDescent="0.25">
      <c r="C107" s="81">
        <v>10</v>
      </c>
      <c r="D107" s="171" t="str">
        <f xml:space="preserve"> INDEX( CALCS│Outcomes!$C$442:$C$458, MATCH( $E107, CALCS│Outcomes!$O$442:$O$458, 0 ) )</f>
        <v>SWB</v>
      </c>
      <c r="E107" s="224">
        <f xml:space="preserve"> LARGE( CALCS│Outcomes!$O$442:$O$458, C107 )</f>
        <v>-2.5954685015025986E-3</v>
      </c>
    </row>
    <row r="108" spans="3:5" outlineLevel="1" x14ac:dyDescent="0.25">
      <c r="C108" s="81">
        <v>11</v>
      </c>
      <c r="D108" s="171" t="str">
        <f xml:space="preserve"> INDEX( CALCS│Outcomes!$C$442:$C$458, MATCH( $E108, CALCS│Outcomes!$O$442:$O$458, 0 ) )</f>
        <v>YKY</v>
      </c>
      <c r="E108" s="224">
        <f xml:space="preserve"> LARGE( CALCS│Outcomes!$O$442:$O$458, C108 )</f>
        <v>-2.6292723996304895E-3</v>
      </c>
    </row>
    <row r="109" spans="3:5" outlineLevel="1" x14ac:dyDescent="0.25">
      <c r="C109" s="81">
        <v>12</v>
      </c>
      <c r="D109" s="171" t="str">
        <f xml:space="preserve"> INDEX( CALCS│Outcomes!$C$442:$C$458, MATCH( $E109, CALCS│Outcomes!$O$442:$O$458, 0 ) )</f>
        <v>SVE</v>
      </c>
      <c r="E109" s="224">
        <f xml:space="preserve"> LARGE( CALCS│Outcomes!$O$442:$O$458, C109 )</f>
        <v>-5.3693376783583947E-3</v>
      </c>
    </row>
    <row r="110" spans="3:5" outlineLevel="1" x14ac:dyDescent="0.25">
      <c r="C110" s="81">
        <v>13</v>
      </c>
      <c r="D110" s="171" t="str">
        <f xml:space="preserve"> INDEX( CALCS│Outcomes!$C$442:$C$458, MATCH( $E110, CALCS│Outcomes!$O$442:$O$458, 0 ) )</f>
        <v>HDD</v>
      </c>
      <c r="E110" s="224">
        <f xml:space="preserve"> LARGE( CALCS│Outcomes!$O$442:$O$458, C110 )</f>
        <v>-1.0252955829517406E-2</v>
      </c>
    </row>
    <row r="111" spans="3:5" outlineLevel="1" x14ac:dyDescent="0.25">
      <c r="C111" s="81">
        <v>14</v>
      </c>
      <c r="D111" s="171" t="str">
        <f xml:space="preserve"> INDEX( CALCS│Outcomes!$C$442:$C$458, MATCH( $E111, CALCS│Outcomes!$O$442:$O$458, 0 ) )</f>
        <v>SRN</v>
      </c>
      <c r="E111" s="224">
        <f xml:space="preserve"> LARGE( CALCS│Outcomes!$O$442:$O$458, C111 )</f>
        <v>-2.0451403262359037E-2</v>
      </c>
    </row>
    <row r="112" spans="3:5" outlineLevel="1" x14ac:dyDescent="0.25">
      <c r="C112" s="81">
        <v>15</v>
      </c>
      <c r="D112" s="171" t="str">
        <f xml:space="preserve"> INDEX( CALCS│Outcomes!$C$442:$C$458, MATCH( $E112, CALCS│Outcomes!$O$442:$O$458, 0 ) )</f>
        <v>TMS</v>
      </c>
      <c r="E112" s="224">
        <f xml:space="preserve"> LARGE( CALCS│Outcomes!$O$442:$O$458, C112 )</f>
        <v>-2.2718725897986167E-2</v>
      </c>
    </row>
    <row r="113" spans="2:19" outlineLevel="1" x14ac:dyDescent="0.25">
      <c r="C113" s="81">
        <v>16</v>
      </c>
      <c r="D113" s="171" t="str">
        <f xml:space="preserve"> INDEX( CALCS│Outcomes!$C$442:$C$458, MATCH( $E113, CALCS│Outcomes!$O$442:$O$458, 0 ) )</f>
        <v>SES</v>
      </c>
      <c r="E113" s="224">
        <f xml:space="preserve"> LARGE( CALCS│Outcomes!$O$442:$O$458, C113 )</f>
        <v>-2.7403693666850644E-2</v>
      </c>
    </row>
    <row r="114" spans="2:19" outlineLevel="1" x14ac:dyDescent="0.25">
      <c r="C114" s="81">
        <v>17</v>
      </c>
      <c r="D114" s="171" t="str">
        <f xml:space="preserve"> INDEX( CALCS│Outcomes!$C$442:$C$458, MATCH( $E114, CALCS│Outcomes!$O$442:$O$458, 0 ) )</f>
        <v>AFW</v>
      </c>
      <c r="E114" s="224">
        <f xml:space="preserve"> LARGE( CALCS│Outcomes!$O$442:$O$458, C114 )</f>
        <v>-2.8802812715841956E-2</v>
      </c>
    </row>
    <row r="115" spans="2:19" outlineLevel="1" x14ac:dyDescent="0.25">
      <c r="D115" s="76" t="s">
        <v>424</v>
      </c>
      <c r="E115" s="306">
        <f>CALCS│Outcomes!O460</f>
        <v>-5.5859713713850229E-3</v>
      </c>
    </row>
    <row r="116" spans="2:19" x14ac:dyDescent="0.25">
      <c r="E116" s="132"/>
    </row>
    <row r="117" spans="2:19" ht="13.5" x14ac:dyDescent="0.35">
      <c r="B117" s="9" t="s">
        <v>162</v>
      </c>
      <c r="C117" s="9"/>
      <c r="D117" s="10"/>
      <c r="E117" s="10"/>
      <c r="F117" s="10"/>
      <c r="G117" s="10"/>
      <c r="H117" s="10"/>
      <c r="I117" s="10"/>
      <c r="J117" s="10"/>
      <c r="K117" s="10"/>
      <c r="L117" s="9" t="s">
        <v>622</v>
      </c>
      <c r="M117" s="10"/>
      <c r="N117" s="10"/>
      <c r="O117" s="10"/>
      <c r="P117" s="10"/>
      <c r="Q117" s="10"/>
      <c r="R117" s="10"/>
      <c r="S117" s="10"/>
    </row>
    <row r="118" spans="2:19" outlineLevel="1" x14ac:dyDescent="0.25"/>
    <row r="119" spans="2:19" ht="13.5" outlineLevel="1" x14ac:dyDescent="0.35">
      <c r="B119" s="31" t="s">
        <v>650</v>
      </c>
      <c r="C119" s="31"/>
      <c r="D119" s="31"/>
      <c r="E119" s="31"/>
      <c r="F119" s="31"/>
      <c r="G119" s="31"/>
      <c r="H119" s="31"/>
      <c r="I119" s="31"/>
      <c r="J119" s="31"/>
      <c r="K119" s="31"/>
      <c r="L119" s="31"/>
      <c r="M119" s="31"/>
      <c r="N119" s="31"/>
      <c r="O119" s="31"/>
      <c r="P119" s="31"/>
      <c r="Q119" s="31"/>
      <c r="R119" s="31"/>
      <c r="S119" s="31"/>
    </row>
    <row r="120" spans="2:19" outlineLevel="1" x14ac:dyDescent="0.25"/>
    <row r="121" spans="2:19" outlineLevel="1" x14ac:dyDescent="0.25"/>
    <row r="122" spans="2:19" outlineLevel="1" x14ac:dyDescent="0.25"/>
    <row r="123" spans="2:19" outlineLevel="1" x14ac:dyDescent="0.25"/>
    <row r="124" spans="2:19" outlineLevel="1" x14ac:dyDescent="0.25"/>
    <row r="125" spans="2:19" outlineLevel="1" x14ac:dyDescent="0.25"/>
    <row r="126" spans="2:19" outlineLevel="1" x14ac:dyDescent="0.25"/>
    <row r="127" spans="2:19" outlineLevel="1" x14ac:dyDescent="0.25"/>
    <row r="128" spans="2:19" outlineLevel="1" x14ac:dyDescent="0.25"/>
    <row r="129" spans="2:19" outlineLevel="1" x14ac:dyDescent="0.25"/>
    <row r="130" spans="2:19" outlineLevel="1" x14ac:dyDescent="0.25"/>
    <row r="131" spans="2:19" outlineLevel="1" x14ac:dyDescent="0.25"/>
    <row r="132" spans="2:19" outlineLevel="1" x14ac:dyDescent="0.25"/>
    <row r="133" spans="2:19" outlineLevel="1" x14ac:dyDescent="0.25"/>
    <row r="134" spans="2:19" outlineLevel="1" x14ac:dyDescent="0.25"/>
    <row r="135" spans="2:19" outlineLevel="1" x14ac:dyDescent="0.25"/>
    <row r="136" spans="2:19" outlineLevel="1" x14ac:dyDescent="0.25"/>
    <row r="137" spans="2:19" outlineLevel="1" x14ac:dyDescent="0.25"/>
    <row r="138" spans="2:19" outlineLevel="1" x14ac:dyDescent="0.25"/>
    <row r="139" spans="2:19" ht="13.5" outlineLevel="1" x14ac:dyDescent="0.35">
      <c r="B139" s="303" t="str">
        <f xml:space="preserve"> "Net change in company leakage (Ml/day) from 2012-13 to " &amp; Year &amp; " as a % of industry total leakage in 2012-13"</f>
        <v>Net change in company leakage (Ml/day) from 2012-13 to 2019-20 as a % of industry total leakage in 2012-13</v>
      </c>
      <c r="C139" s="31"/>
      <c r="D139" s="31"/>
      <c r="E139" s="31"/>
      <c r="F139" s="31"/>
      <c r="G139" s="31"/>
      <c r="H139" s="31"/>
      <c r="I139" s="31"/>
      <c r="J139" s="31"/>
      <c r="K139" s="31"/>
      <c r="L139" s="31"/>
      <c r="M139" s="31"/>
      <c r="N139" s="31"/>
      <c r="O139" s="31"/>
      <c r="P139" s="31"/>
      <c r="Q139" s="31"/>
      <c r="R139" s="31"/>
      <c r="S139" s="31"/>
    </row>
    <row r="140" spans="2:19" outlineLevel="1" x14ac:dyDescent="0.25"/>
    <row r="141" spans="2:19" ht="37.5" outlineLevel="1" x14ac:dyDescent="0.25">
      <c r="C141" s="288" t="s">
        <v>640</v>
      </c>
      <c r="D141" s="288" t="s">
        <v>223</v>
      </c>
      <c r="E141" s="288" t="s">
        <v>669</v>
      </c>
      <c r="F141" s="291" t="str">
        <f xml:space="preserve"> "% change since " &amp; Last_year</f>
        <v>% change since 2018-19</v>
      </c>
    </row>
    <row r="142" spans="2:19" outlineLevel="1" x14ac:dyDescent="0.25">
      <c r="C142" s="81">
        <v>1</v>
      </c>
      <c r="D142" s="171" t="str">
        <f xml:space="preserve"> INDEX( CALCS│Outcomes!$C$10:$C$26, MATCH( E142, CALCS│Outcomes!$O$10:$O$26, 0 ) )</f>
        <v>PRT</v>
      </c>
      <c r="E142" s="94">
        <f xml:space="preserve"> SMALL( CALCS│Outcomes!$O$10:$O$26, C142 )</f>
        <v>-0.30789550924567072</v>
      </c>
      <c r="F142" s="94">
        <f xml:space="preserve"> SUMIFS( CALCS│Outcomes!$R$10:$R$26, CALCS│Outcomes!$C$10:$C$26, $D142 )</f>
        <v>-0.16145092460881943</v>
      </c>
    </row>
    <row r="143" spans="2:19" outlineLevel="1" x14ac:dyDescent="0.25">
      <c r="C143" s="81">
        <v>2</v>
      </c>
      <c r="D143" s="171" t="str">
        <f xml:space="preserve"> INDEX( CALCS│Outcomes!$C$10:$C$26, MATCH( E143, CALCS│Outcomes!$O$10:$O$26, 0 ) )</f>
        <v>AFW</v>
      </c>
      <c r="E143" s="94">
        <f xml:space="preserve"> SMALL( CALCS│Outcomes!$O$10:$O$26, C143 )</f>
        <v>-0.14442403611031757</v>
      </c>
      <c r="F143" s="94">
        <f xml:space="preserve"> SUMIFS( CALCS│Outcomes!$R$10:$R$26, CALCS│Outcomes!$C$10:$C$26, $D143 )</f>
        <v>-0.17317181653117855</v>
      </c>
    </row>
    <row r="144" spans="2:19" outlineLevel="1" x14ac:dyDescent="0.25">
      <c r="C144" s="81">
        <v>3</v>
      </c>
      <c r="D144" s="171" t="str">
        <f xml:space="preserve"> INDEX( CALCS│Outcomes!$C$10:$C$26, MATCH( E144, CALCS│Outcomes!$O$10:$O$26, 0 ) )</f>
        <v>BRL</v>
      </c>
      <c r="E144" s="94">
        <f xml:space="preserve"> SMALL( CALCS│Outcomes!$O$10:$O$26, C144 )</f>
        <v>-0.1161520190023753</v>
      </c>
      <c r="F144" s="94">
        <f xml:space="preserve"> SUMIFS( CALCS│Outcomes!$R$10:$R$26, CALCS│Outcomes!$C$10:$C$26, $D144 )</f>
        <v>-0.1078877966914409</v>
      </c>
    </row>
    <row r="145" spans="3:6" outlineLevel="1" x14ac:dyDescent="0.25">
      <c r="C145" s="81">
        <v>4</v>
      </c>
      <c r="D145" s="171" t="str">
        <f xml:space="preserve"> INDEX( CALCS│Outcomes!$C$10:$C$26, MATCH( E145, CALCS│Outcomes!$O$10:$O$26, 0 ) )</f>
        <v>WSX</v>
      </c>
      <c r="E145" s="94">
        <f xml:space="preserve"> SMALL( CALCS│Outcomes!$O$10:$O$26, C145 )</f>
        <v>-0.10464098073555159</v>
      </c>
      <c r="F145" s="94">
        <f xml:space="preserve"> SUMIFS( CALCS│Outcomes!$R$10:$R$26, CALCS│Outcomes!$C$10:$C$26, $D145 )</f>
        <v>-7.5915047446904638E-2</v>
      </c>
    </row>
    <row r="146" spans="3:6" outlineLevel="1" x14ac:dyDescent="0.25">
      <c r="C146" s="81">
        <v>5</v>
      </c>
      <c r="D146" s="171" t="str">
        <f xml:space="preserve"> INDEX( CALCS│Outcomes!$C$10:$C$26, MATCH( E146, CALCS│Outcomes!$O$10:$O$26, 0 ) )</f>
        <v>HDD</v>
      </c>
      <c r="E146" s="94">
        <f xml:space="preserve"> SMALL( CALCS│Outcomes!$O$10:$O$26, C146 )</f>
        <v>-9.719903012775713E-2</v>
      </c>
      <c r="F146" s="94">
        <f xml:space="preserve"> SUMIFS( CALCS│Outcomes!$R$10:$R$26, CALCS│Outcomes!$C$10:$C$26, $D146 )</f>
        <v>-0.16456312789224573</v>
      </c>
    </row>
    <row r="147" spans="3:6" outlineLevel="1" x14ac:dyDescent="0.25">
      <c r="C147" s="81">
        <v>6</v>
      </c>
      <c r="D147" s="171" t="str">
        <f xml:space="preserve"> INDEX( CALCS│Outcomes!$C$10:$C$26, MATCH( E147, CALCS│Outcomes!$O$10:$O$26, 0 ) )</f>
        <v>WSH</v>
      </c>
      <c r="E147" s="94">
        <f xml:space="preserve"> SMALL( CALCS│Outcomes!$O$10:$O$26, C147 )</f>
        <v>-9.1179653679653791E-2</v>
      </c>
      <c r="F147" s="94">
        <f xml:space="preserve"> SUMIFS( CALCS│Outcomes!$R$10:$R$26, CALCS│Outcomes!$C$10:$C$26, $D147 )</f>
        <v>-9.3783178011089038E-3</v>
      </c>
    </row>
    <row r="148" spans="3:6" outlineLevel="1" x14ac:dyDescent="0.25">
      <c r="C148" s="81">
        <v>7</v>
      </c>
      <c r="D148" s="171" t="str">
        <f xml:space="preserve"> INDEX( CALCS│Outcomes!$C$10:$C$26, MATCH( E148, CALCS│Outcomes!$O$10:$O$26, 0 ) )</f>
        <v>TMS</v>
      </c>
      <c r="E148" s="94">
        <f xml:space="preserve"> SMALL( CALCS│Outcomes!$O$10:$O$26, C148 )</f>
        <v>-7.8558424477056868E-2</v>
      </c>
      <c r="F148" s="94">
        <f xml:space="preserve"> SUMIFS( CALCS│Outcomes!$R$10:$R$26, CALCS│Outcomes!$C$10:$C$26, $D148 )</f>
        <v>-0.13841451932965418</v>
      </c>
    </row>
    <row r="149" spans="3:6" outlineLevel="1" x14ac:dyDescent="0.25">
      <c r="C149" s="81">
        <v>8</v>
      </c>
      <c r="D149" s="171" t="str">
        <f xml:space="preserve"> INDEX( CALCS│Outcomes!$C$10:$C$26, MATCH( E149, CALCS│Outcomes!$O$10:$O$26, 0 ) )</f>
        <v>SVE</v>
      </c>
      <c r="E149" s="94">
        <f xml:space="preserve"> SMALL( CALCS│Outcomes!$O$10:$O$26, C149 )</f>
        <v>-7.2750057628692438E-2</v>
      </c>
      <c r="F149" s="94">
        <f xml:space="preserve"> SUMIFS( CALCS│Outcomes!$R$10:$R$26, CALCS│Outcomes!$C$10:$C$26, $D149 )</f>
        <v>-4.673390736058116E-2</v>
      </c>
    </row>
    <row r="150" spans="3:6" outlineLevel="1" x14ac:dyDescent="0.25">
      <c r="C150" s="81">
        <v>9</v>
      </c>
      <c r="D150" s="171" t="str">
        <f xml:space="preserve"> INDEX( CALCS│Outcomes!$C$10:$C$26, MATCH( E150, CALCS│Outcomes!$O$10:$O$26, 0 ) )</f>
        <v>SEW</v>
      </c>
      <c r="E150" s="94">
        <f xml:space="preserve"> SMALL( CALCS│Outcomes!$O$10:$O$26, C150 )</f>
        <v>-7.2559062195097654E-2</v>
      </c>
      <c r="F150" s="94">
        <f xml:space="preserve"> SUMIFS( CALCS│Outcomes!$R$10:$R$26, CALCS│Outcomes!$C$10:$C$26, $D150 )</f>
        <v>-5.5202835416125222E-3</v>
      </c>
    </row>
    <row r="151" spans="3:6" outlineLevel="1" x14ac:dyDescent="0.25">
      <c r="C151" s="81">
        <v>10</v>
      </c>
      <c r="D151" s="171" t="str">
        <f xml:space="preserve"> INDEX( CALCS│Outcomes!$C$10:$C$26, MATCH( E151, CALCS│Outcomes!$O$10:$O$26, 0 ) )</f>
        <v>ANH</v>
      </c>
      <c r="E151" s="94">
        <f xml:space="preserve"> SMALL( CALCS│Outcomes!$O$10:$O$26, C151 )</f>
        <v>-3.5709817630670271E-2</v>
      </c>
      <c r="F151" s="94">
        <f xml:space="preserve"> SUMIFS( CALCS│Outcomes!$R$10:$R$26, CALCS│Outcomes!$C$10:$C$26, $D151 )</f>
        <v>-4.6277292768383285E-2</v>
      </c>
    </row>
    <row r="152" spans="3:6" outlineLevel="1" x14ac:dyDescent="0.25">
      <c r="C152" s="81">
        <v>11</v>
      </c>
      <c r="D152" s="171" t="str">
        <f xml:space="preserve"> INDEX( CALCS│Outcomes!$C$10:$C$26, MATCH( E152, CALCS│Outcomes!$O$10:$O$26, 0 ) )</f>
        <v>UU</v>
      </c>
      <c r="E152" s="94">
        <f xml:space="preserve"> SMALL( CALCS│Outcomes!$O$10:$O$26, C152 )</f>
        <v>-2.4616732190578573E-2</v>
      </c>
      <c r="F152" s="94">
        <f xml:space="preserve"> SUMIFS( CALCS│Outcomes!$R$10:$R$26, CALCS│Outcomes!$C$10:$C$26, $D152 )</f>
        <v>-2.1645765666026977E-2</v>
      </c>
    </row>
    <row r="153" spans="3:6" outlineLevel="1" x14ac:dyDescent="0.25">
      <c r="C153" s="81">
        <v>12</v>
      </c>
      <c r="D153" s="171" t="str">
        <f xml:space="preserve"> INDEX( CALCS│Outcomes!$C$10:$C$26, MATCH( E153, CALCS│Outcomes!$O$10:$O$26, 0 ) )</f>
        <v>SES</v>
      </c>
      <c r="E153" s="94">
        <f xml:space="preserve"> SMALL( CALCS│Outcomes!$O$10:$O$26, C153 )</f>
        <v>8.8458298230834394E-3</v>
      </c>
      <c r="F153" s="94">
        <f xml:space="preserve"> SUMIFS( CALCS│Outcomes!$R$10:$R$26, CALCS│Outcomes!$C$10:$C$26, $D153 )</f>
        <v>-8.2815734989647744E-3</v>
      </c>
    </row>
    <row r="154" spans="3:6" outlineLevel="1" x14ac:dyDescent="0.25">
      <c r="C154" s="81">
        <v>13</v>
      </c>
      <c r="D154" s="171" t="str">
        <f xml:space="preserve"> INDEX( CALCS│Outcomes!$C$10:$C$26, MATCH( E154, CALCS│Outcomes!$O$10:$O$26, 0 ) )</f>
        <v>SWB</v>
      </c>
      <c r="E154" s="94">
        <f xml:space="preserve"> SMALL( CALCS│Outcomes!$O$10:$O$26, C154 )</f>
        <v>1.1582449105535075E-2</v>
      </c>
      <c r="F154" s="94">
        <f xml:space="preserve"> SUMIFS( CALCS│Outcomes!$R$10:$R$26, CALCS│Outcomes!$C$10:$C$26, $D154 )</f>
        <v>2.5869446590971998E-2</v>
      </c>
    </row>
    <row r="155" spans="3:6" outlineLevel="1" x14ac:dyDescent="0.25">
      <c r="C155" s="81">
        <v>14</v>
      </c>
      <c r="D155" s="171" t="str">
        <f xml:space="preserve"> INDEX( CALCS│Outcomes!$C$10:$C$26, MATCH( E155, CALCS│Outcomes!$O$10:$O$26, 0 ) )</f>
        <v>YKY</v>
      </c>
      <c r="E155" s="94">
        <f xml:space="preserve"> SMALL( CALCS│Outcomes!$O$10:$O$26, C155 )</f>
        <v>2.3165293628599485E-2</v>
      </c>
      <c r="F155" s="94">
        <f xml:space="preserve"> SUMIFS( CALCS│Outcomes!$R$10:$R$26, CALCS│Outcomes!$C$10:$C$26, $D155 )</f>
        <v>-6.5638264830727766E-2</v>
      </c>
    </row>
    <row r="156" spans="3:6" outlineLevel="1" x14ac:dyDescent="0.25">
      <c r="C156" s="81">
        <v>15</v>
      </c>
      <c r="D156" s="171" t="str">
        <f xml:space="preserve"> INDEX( CALCS│Outcomes!$C$10:$C$26, MATCH( E156, CALCS│Outcomes!$O$10:$O$26, 0 ) )</f>
        <v>NES</v>
      </c>
      <c r="E156" s="94">
        <f xml:space="preserve"> SMALL( CALCS│Outcomes!$O$10:$O$26, C156 )</f>
        <v>4.3027175057931411E-2</v>
      </c>
      <c r="F156" s="94">
        <f xml:space="preserve"> SUMIFS( CALCS│Outcomes!$R$10:$R$26, CALCS│Outcomes!$C$10:$C$26, $D156 )</f>
        <v>-1.1923767711035654E-2</v>
      </c>
    </row>
    <row r="157" spans="3:6" outlineLevel="1" x14ac:dyDescent="0.25">
      <c r="C157" s="81">
        <v>16</v>
      </c>
      <c r="D157" s="171" t="str">
        <f xml:space="preserve"> INDEX( CALCS│Outcomes!$C$10:$C$26, MATCH( E157, CALCS│Outcomes!$O$10:$O$26, 0 ) )</f>
        <v>SSC</v>
      </c>
      <c r="E157" s="94">
        <f xml:space="preserve"> SMALL( CALCS│Outcomes!$O$10:$O$26, C157 )</f>
        <v>5.2570545032856568E-2</v>
      </c>
      <c r="F157" s="94">
        <f xml:space="preserve"> SUMIFS( CALCS│Outcomes!$R$10:$R$26, CALCS│Outcomes!$C$10:$C$26, $D157 )</f>
        <v>-2.4480534989252414E-2</v>
      </c>
    </row>
    <row r="158" spans="3:6" outlineLevel="1" x14ac:dyDescent="0.25">
      <c r="C158" s="81">
        <v>17</v>
      </c>
      <c r="D158" s="171" t="str">
        <f xml:space="preserve"> INDEX( CALCS│Outcomes!$C$10:$C$26, MATCH( E158, CALCS│Outcomes!$O$10:$O$26, 0 ) )</f>
        <v>SRN</v>
      </c>
      <c r="E158" s="94">
        <f xml:space="preserve"> SMALL( CALCS│Outcomes!$O$10:$O$26, C158 )</f>
        <v>0.15714619754335196</v>
      </c>
      <c r="F158" s="94">
        <f xml:space="preserve"> SUMIFS( CALCS│Outcomes!$R$10:$R$26, CALCS│Outcomes!$C$10:$C$26, $D158 )</f>
        <v>-7.6500049101443507E-2</v>
      </c>
    </row>
    <row r="159" spans="3:6" outlineLevel="1" x14ac:dyDescent="0.25">
      <c r="D159" s="76" t="s">
        <v>424</v>
      </c>
      <c r="E159" s="302">
        <f>CALCS│Outcomes!O28</f>
        <v>-4.6107445867512024E-2</v>
      </c>
      <c r="F159" s="302">
        <f xml:space="preserve"> CALCS│Outcomes!R28</f>
        <v>-6.7990839591644217E-2</v>
      </c>
    </row>
    <row r="160" spans="3:6" outlineLevel="1" x14ac:dyDescent="0.25"/>
    <row r="161" spans="2:19" ht="13.5" outlineLevel="1" x14ac:dyDescent="0.35">
      <c r="B161" s="303" t="str">
        <f xml:space="preserve"> "Net change in company leakage (Ml/day) from 2012-13 to " &amp; Year</f>
        <v>Net change in company leakage (Ml/day) from 2012-13 to 2019-20</v>
      </c>
      <c r="C161" s="31"/>
      <c r="D161" s="31"/>
      <c r="E161" s="31"/>
      <c r="F161" s="31"/>
      <c r="G161" s="31"/>
      <c r="H161" s="31"/>
      <c r="I161" s="31"/>
      <c r="J161" s="31"/>
      <c r="K161" s="31"/>
      <c r="L161" s="31"/>
      <c r="M161" s="31"/>
      <c r="N161" s="31"/>
      <c r="O161" s="31"/>
      <c r="P161" s="31"/>
      <c r="Q161" s="31"/>
      <c r="R161" s="31"/>
      <c r="S161" s="31"/>
    </row>
    <row r="162" spans="2:19" outlineLevel="1" x14ac:dyDescent="0.25"/>
    <row r="163" spans="2:19" ht="37.5" outlineLevel="1" x14ac:dyDescent="0.25">
      <c r="C163" s="290" t="s">
        <v>640</v>
      </c>
      <c r="D163" s="290" t="s">
        <v>223</v>
      </c>
      <c r="E163" s="293" t="s">
        <v>669</v>
      </c>
      <c r="F163" s="293" t="str">
        <f xml:space="preserve"> "% change since " &amp; Last_year</f>
        <v>% change since 2018-19</v>
      </c>
    </row>
    <row r="164" spans="2:19" outlineLevel="1" x14ac:dyDescent="0.25">
      <c r="C164" s="81">
        <v>1</v>
      </c>
      <c r="D164" s="171" t="str">
        <f xml:space="preserve"> INDEX( CALCS│Outcomes!$C$55:$C$71, MATCH( E164, CALCS│Outcomes!$O$55:$O$71, 0 ) )</f>
        <v>PRT</v>
      </c>
      <c r="E164" s="94">
        <f xml:space="preserve"> SMALL( CALCS│Outcomes!$O$55:$O$71, C164 )</f>
        <v>-0.3260502182421145</v>
      </c>
      <c r="F164" s="94">
        <f xml:space="preserve"> SUMIFS( CALCS│Outcomes!$R$55:$R$71, CALCS│Outcomes!$C$55:$C$71, $D164 )</f>
        <v>-0.16394764668168052</v>
      </c>
    </row>
    <row r="165" spans="2:19" outlineLevel="1" x14ac:dyDescent="0.25">
      <c r="C165" s="81">
        <v>2</v>
      </c>
      <c r="D165" s="171" t="str">
        <f xml:space="preserve"> INDEX( CALCS│Outcomes!$C$55:$C$71, MATCH( E165, CALCS│Outcomes!$O$55:$O$71, 0 ) )</f>
        <v>AFW</v>
      </c>
      <c r="E165" s="94">
        <f xml:space="preserve"> SMALL( CALCS│Outcomes!$O$55:$O$71, C165 )</f>
        <v>-0.15668499586833454</v>
      </c>
      <c r="F165" s="94">
        <f xml:space="preserve"> SUMIFS( CALCS│Outcomes!$R$55:$R$71, CALCS│Outcomes!$C$55:$C$71, $D165 )</f>
        <v>-0.17615201599271796</v>
      </c>
    </row>
    <row r="166" spans="2:19" outlineLevel="1" x14ac:dyDescent="0.25">
      <c r="C166" s="81">
        <v>3</v>
      </c>
      <c r="D166" s="171" t="str">
        <f xml:space="preserve"> INDEX( CALCS│Outcomes!$C$55:$C$71, MATCH( E166, CALCS│Outcomes!$O$55:$O$71, 0 ) )</f>
        <v>BRL</v>
      </c>
      <c r="E166" s="94">
        <f xml:space="preserve"> SMALL( CALCS│Outcomes!$O$55:$O$71, C166 )</f>
        <v>-0.14159560356118986</v>
      </c>
      <c r="F166" s="94">
        <f xml:space="preserve"> SUMIFS( CALCS│Outcomes!$R$55:$R$71, CALCS│Outcomes!$C$55:$C$71, $D166 )</f>
        <v>-0.11137973177001398</v>
      </c>
    </row>
    <row r="167" spans="2:19" outlineLevel="1" x14ac:dyDescent="0.25">
      <c r="C167" s="81">
        <v>4</v>
      </c>
      <c r="D167" s="171" t="str">
        <f xml:space="preserve"> INDEX( CALCS│Outcomes!$C$55:$C$71, MATCH( E167, CALCS│Outcomes!$O$55:$O$71, 0 ) )</f>
        <v>WSX</v>
      </c>
      <c r="E167" s="94">
        <f xml:space="preserve"> SMALL( CALCS│Outcomes!$O$55:$O$71, C167 )</f>
        <v>-0.13575504951835635</v>
      </c>
      <c r="F167" s="94">
        <f xml:space="preserve"> SUMIFS( CALCS│Outcomes!$R$55:$R$71, CALCS│Outcomes!$C$55:$C$71, $D167 )</f>
        <v>-7.9875844831520076E-2</v>
      </c>
    </row>
    <row r="168" spans="2:19" outlineLevel="1" x14ac:dyDescent="0.25">
      <c r="C168" s="81">
        <v>5</v>
      </c>
      <c r="D168" s="171" t="str">
        <f xml:space="preserve"> INDEX( CALCS│Outcomes!$C$55:$C$71, MATCH( E168, CALCS│Outcomes!$O$55:$O$71, 0 ) )</f>
        <v>HDD</v>
      </c>
      <c r="E168" s="94">
        <f xml:space="preserve"> SMALL( CALCS│Outcomes!$O$55:$O$71, C168 )</f>
        <v>-0.11174535683502249</v>
      </c>
      <c r="F168" s="94">
        <f xml:space="preserve"> SUMIFS( CALCS│Outcomes!$R$55:$R$71, CALCS│Outcomes!$C$55:$C$71, $D168 )</f>
        <v>-0.16875709164765035</v>
      </c>
    </row>
    <row r="169" spans="2:19" outlineLevel="1" x14ac:dyDescent="0.25">
      <c r="C169" s="81">
        <v>6</v>
      </c>
      <c r="D169" s="171" t="str">
        <f xml:space="preserve"> INDEX( CALCS│Outcomes!$C$55:$C$71, MATCH( E169, CALCS│Outcomes!$O$55:$O$71, 0 ) )</f>
        <v>WSH</v>
      </c>
      <c r="E169" s="94">
        <f xml:space="preserve"> SMALL( CALCS│Outcomes!$O$55:$O$71, C169 )</f>
        <v>-0.10781692461747014</v>
      </c>
      <c r="F169" s="94">
        <f xml:space="preserve"> SUMIFS( CALCS│Outcomes!$R$55:$R$71, CALCS│Outcomes!$C$55:$C$71, $D169 )</f>
        <v>-1.2557348490303216E-2</v>
      </c>
    </row>
    <row r="170" spans="2:19" outlineLevel="1" x14ac:dyDescent="0.25">
      <c r="C170" s="81">
        <v>7</v>
      </c>
      <c r="D170" s="171" t="str">
        <f xml:space="preserve"> INDEX( CALCS│Outcomes!$C$55:$C$71, MATCH( E170, CALCS│Outcomes!$O$55:$O$71, 0 ) )</f>
        <v>SEW</v>
      </c>
      <c r="E170" s="94">
        <f xml:space="preserve"> SMALL( CALCS│Outcomes!$O$55:$O$71, C170 )</f>
        <v>-9.4868215443656589E-2</v>
      </c>
      <c r="F170" s="94">
        <f xml:space="preserve"> SUMIFS( CALCS│Outcomes!$R$55:$R$71, CALCS│Outcomes!$C$55:$C$71, $D170 )</f>
        <v>-1.2286256783198002E-2</v>
      </c>
    </row>
    <row r="171" spans="2:19" outlineLevel="1" x14ac:dyDescent="0.25">
      <c r="C171" s="81">
        <v>8</v>
      </c>
      <c r="D171" s="171" t="str">
        <f xml:space="preserve"> INDEX( CALCS│Outcomes!$C$55:$C$71, MATCH( E171, CALCS│Outcomes!$O$55:$O$71, 0 ) )</f>
        <v>SVE</v>
      </c>
      <c r="E171" s="94">
        <f xml:space="preserve"> SMALL( CALCS│Outcomes!$O$55:$O$71, C171 )</f>
        <v>-9.4211219116156736E-2</v>
      </c>
      <c r="F171" s="94">
        <f xml:space="preserve"> SUMIFS( CALCS│Outcomes!$R$55:$R$71, CALCS│Outcomes!$C$55:$C$71, $D171 )</f>
        <v>-5.1787297502395212E-2</v>
      </c>
    </row>
    <row r="172" spans="2:19" outlineLevel="1" x14ac:dyDescent="0.25">
      <c r="C172" s="81">
        <v>9</v>
      </c>
      <c r="D172" s="171" t="str">
        <f xml:space="preserve"> INDEX( CALCS│Outcomes!$C$55:$C$71, MATCH( E172, CALCS│Outcomes!$O$55:$O$71, 0 ) )</f>
        <v>TMS</v>
      </c>
      <c r="E172" s="94">
        <f xml:space="preserve"> SMALL( CALCS│Outcomes!$O$55:$O$71, C172 )</f>
        <v>-9.1294325071326315E-2</v>
      </c>
      <c r="F172" s="94">
        <f xml:space="preserve"> SUMIFS( CALCS│Outcomes!$R$55:$R$71, CALCS│Outcomes!$C$55:$C$71, $D172 )</f>
        <v>-0.14043180183809764</v>
      </c>
    </row>
    <row r="173" spans="2:19" outlineLevel="1" x14ac:dyDescent="0.25">
      <c r="C173" s="81">
        <v>10</v>
      </c>
      <c r="D173" s="171" t="str">
        <f xml:space="preserve"> INDEX( CALCS│Outcomes!$C$55:$C$71, MATCH( E173, CALCS│Outcomes!$O$55:$O$71, 0 ) )</f>
        <v>ANH</v>
      </c>
      <c r="E173" s="94">
        <f xml:space="preserve"> SMALL( CALCS│Outcomes!$O$55:$O$71, C173 )</f>
        <v>-5.3219198923959404E-2</v>
      </c>
      <c r="F173" s="94">
        <f xml:space="preserve"> SUMIFS( CALCS│Outcomes!$R$55:$R$71, CALCS│Outcomes!$C$55:$C$71, $D173 )</f>
        <v>-4.9347960080953213E-2</v>
      </c>
    </row>
    <row r="174" spans="2:19" outlineLevel="1" x14ac:dyDescent="0.25">
      <c r="C174" s="81">
        <v>11</v>
      </c>
      <c r="D174" s="171" t="str">
        <f xml:space="preserve"> INDEX( CALCS│Outcomes!$C$55:$C$71, MATCH( E174, CALCS│Outcomes!$O$55:$O$71, 0 ) )</f>
        <v>UU</v>
      </c>
      <c r="E174" s="94">
        <f xml:space="preserve"> SMALL( CALCS│Outcomes!$O$55:$O$71, C174 )</f>
        <v>-4.311741164184843E-2</v>
      </c>
      <c r="F174" s="94">
        <f xml:space="preserve"> SUMIFS( CALCS│Outcomes!$R$55:$R$71, CALCS│Outcomes!$C$55:$C$71, $D174 )</f>
        <v>-2.5892562503233327E-2</v>
      </c>
    </row>
    <row r="175" spans="2:19" outlineLevel="1" x14ac:dyDescent="0.25">
      <c r="C175" s="81">
        <v>12</v>
      </c>
      <c r="D175" s="171" t="str">
        <f xml:space="preserve"> INDEX( CALCS│Outcomes!$C$55:$C$71, MATCH( E175, CALCS│Outcomes!$O$55:$O$71, 0 ) )</f>
        <v>SES</v>
      </c>
      <c r="E175" s="94">
        <f xml:space="preserve"> SMALL( CALCS│Outcomes!$O$55:$O$71, C175 )</f>
        <v>-1.2816786462210667E-2</v>
      </c>
      <c r="F175" s="94">
        <f xml:space="preserve"> SUMIFS( CALCS│Outcomes!$R$55:$R$71, CALCS│Outcomes!$C$55:$C$71, $D175 )</f>
        <v>-1.3847435729548063E-2</v>
      </c>
    </row>
    <row r="176" spans="2:19" outlineLevel="1" x14ac:dyDescent="0.25">
      <c r="C176" s="81">
        <v>13</v>
      </c>
      <c r="D176" s="171" t="str">
        <f xml:space="preserve"> INDEX( CALCS│Outcomes!$C$55:$C$71, MATCH( E176, CALCS│Outcomes!$O$55:$O$71, 0 ) )</f>
        <v>SWB</v>
      </c>
      <c r="E176" s="94">
        <f xml:space="preserve"> SMALL( CALCS│Outcomes!$O$55:$O$71, C176 )</f>
        <v>-8.8907949497893986E-3</v>
      </c>
      <c r="F176" s="94">
        <f xml:space="preserve"> SUMIFS( CALCS│Outcomes!$R$55:$R$71, CALCS│Outcomes!$C$55:$C$71, $D176 )</f>
        <v>2.1999324332247768E-2</v>
      </c>
    </row>
    <row r="177" spans="2:19" outlineLevel="1" x14ac:dyDescent="0.25">
      <c r="C177" s="81">
        <v>14</v>
      </c>
      <c r="D177" s="171" t="str">
        <f xml:space="preserve"> INDEX( CALCS│Outcomes!$C$55:$C$71, MATCH( E177, CALCS│Outcomes!$O$55:$O$71, 0 ) )</f>
        <v>YKY</v>
      </c>
      <c r="E177" s="94">
        <f xml:space="preserve"> SMALL( CALCS│Outcomes!$O$55:$O$71, C177 )</f>
        <v>3.3756728773509936E-3</v>
      </c>
      <c r="F177" s="94">
        <f xml:space="preserve"> SUMIFS( CALCS│Outcomes!$R$55:$R$71, CALCS│Outcomes!$C$55:$C$71, $D177 )</f>
        <v>-6.8591573232342898E-2</v>
      </c>
    </row>
    <row r="178" spans="2:19" outlineLevel="1" x14ac:dyDescent="0.25">
      <c r="C178" s="81">
        <v>15</v>
      </c>
      <c r="D178" s="171" t="str">
        <f xml:space="preserve"> INDEX( CALCS│Outcomes!$C$55:$C$71, MATCH( E178, CALCS│Outcomes!$O$55:$O$71, 0 ) )</f>
        <v>NES</v>
      </c>
      <c r="E178" s="94">
        <f xml:space="preserve"> SMALL( CALCS│Outcomes!$O$55:$O$71, C178 )</f>
        <v>1.1438024463337896E-2</v>
      </c>
      <c r="F178" s="94">
        <f xml:space="preserve"> SUMIFS( CALCS│Outcomes!$R$55:$R$71, CALCS│Outcomes!$C$55:$C$71, $D178 )</f>
        <v>-1.8255704085617466E-2</v>
      </c>
    </row>
    <row r="179" spans="2:19" outlineLevel="1" x14ac:dyDescent="0.25">
      <c r="C179" s="81">
        <v>16</v>
      </c>
      <c r="D179" s="171" t="str">
        <f xml:space="preserve"> INDEX( CALCS│Outcomes!$C$55:$C$71, MATCH( E179, CALCS│Outcomes!$O$55:$O$71, 0 ) )</f>
        <v>SSC</v>
      </c>
      <c r="E179" s="94">
        <f xml:space="preserve"> SMALL( CALCS│Outcomes!$O$55:$O$71, C179 )</f>
        <v>2.0716775429461178E-2</v>
      </c>
      <c r="F179" s="94">
        <f xml:space="preserve"> SUMIFS( CALCS│Outcomes!$R$55:$R$71, CALCS│Outcomes!$C$55:$C$71, $D179 )</f>
        <v>-3.0123641353082951E-2</v>
      </c>
    </row>
    <row r="180" spans="2:19" outlineLevel="1" x14ac:dyDescent="0.25">
      <c r="C180" s="81">
        <v>17</v>
      </c>
      <c r="D180" s="171" t="str">
        <f xml:space="preserve"> INDEX( CALCS│Outcomes!$C$55:$C$71, MATCH( E180, CALCS│Outcomes!$O$55:$O$71, 0 ) )</f>
        <v>SRN</v>
      </c>
      <c r="E180" s="94">
        <f xml:space="preserve"> SMALL( CALCS│Outcomes!$O$55:$O$71, C180 )</f>
        <v>0.13855881193840419</v>
      </c>
      <c r="F180" s="94">
        <f xml:space="preserve"> SUMIFS( CALCS│Outcomes!$R$55:$R$71, CALCS│Outcomes!$C$55:$C$71, $D180 )</f>
        <v>-7.8472501780735782E-2</v>
      </c>
    </row>
    <row r="181" spans="2:19" outlineLevel="1" x14ac:dyDescent="0.25">
      <c r="D181" s="76" t="s">
        <v>424</v>
      </c>
      <c r="E181" s="302">
        <f>CALCS│Outcomes!O73</f>
        <v>-6.59974389761325E-2</v>
      </c>
      <c r="F181" s="302">
        <f>CALCS│Outcomes!R73</f>
        <v>-7.1813072462341407E-2</v>
      </c>
    </row>
    <row r="182" spans="2:19" outlineLevel="1" x14ac:dyDescent="0.25"/>
    <row r="183" spans="2:19" outlineLevel="1" x14ac:dyDescent="0.25"/>
    <row r="185" spans="2:19" ht="13.5" x14ac:dyDescent="0.35">
      <c r="B185" s="9" t="s">
        <v>163</v>
      </c>
      <c r="C185" s="9"/>
      <c r="D185" s="10"/>
      <c r="E185" s="10"/>
      <c r="F185" s="10"/>
      <c r="G185" s="10"/>
      <c r="H185" s="10"/>
      <c r="I185" s="10"/>
      <c r="J185" s="10"/>
      <c r="K185" s="10"/>
      <c r="L185" s="9" t="s">
        <v>652</v>
      </c>
      <c r="M185" s="10"/>
      <c r="N185" s="10"/>
      <c r="O185" s="10"/>
      <c r="P185" s="10"/>
      <c r="Q185" s="10"/>
      <c r="R185" s="10"/>
      <c r="S185" s="10"/>
    </row>
    <row r="186" spans="2:19" outlineLevel="1" x14ac:dyDescent="0.25"/>
    <row r="187" spans="2:19" ht="13.5" outlineLevel="1" x14ac:dyDescent="0.35">
      <c r="B187" s="31" t="s">
        <v>651</v>
      </c>
      <c r="C187" s="31"/>
      <c r="D187" s="31"/>
      <c r="E187" s="31"/>
      <c r="F187" s="31"/>
      <c r="G187" s="31"/>
      <c r="H187" s="31"/>
      <c r="I187" s="31"/>
      <c r="J187" s="31"/>
      <c r="K187" s="31"/>
      <c r="L187" s="31"/>
      <c r="M187" s="31"/>
      <c r="N187" s="31"/>
      <c r="O187" s="31"/>
      <c r="P187" s="31"/>
      <c r="Q187" s="31"/>
      <c r="R187" s="31"/>
      <c r="S187" s="31"/>
    </row>
    <row r="188" spans="2:19" outlineLevel="1" x14ac:dyDescent="0.25"/>
    <row r="189" spans="2:19" outlineLevel="1" x14ac:dyDescent="0.25"/>
    <row r="190" spans="2:19" outlineLevel="1" x14ac:dyDescent="0.25"/>
    <row r="191" spans="2:19" outlineLevel="1" x14ac:dyDescent="0.25"/>
    <row r="192" spans="2:19" outlineLevel="1" x14ac:dyDescent="0.25"/>
    <row r="193" spans="2:19" outlineLevel="1" x14ac:dyDescent="0.25"/>
    <row r="194" spans="2:19" outlineLevel="1" x14ac:dyDescent="0.25"/>
    <row r="195" spans="2:19" outlineLevel="1" x14ac:dyDescent="0.25"/>
    <row r="196" spans="2:19" outlineLevel="1" x14ac:dyDescent="0.25"/>
    <row r="197" spans="2:19" outlineLevel="1" x14ac:dyDescent="0.25"/>
    <row r="198" spans="2:19" outlineLevel="1" x14ac:dyDescent="0.25"/>
    <row r="199" spans="2:19" outlineLevel="1" x14ac:dyDescent="0.25"/>
    <row r="200" spans="2:19" outlineLevel="1" x14ac:dyDescent="0.25"/>
    <row r="201" spans="2:19" outlineLevel="1" x14ac:dyDescent="0.25"/>
    <row r="202" spans="2:19" outlineLevel="1" x14ac:dyDescent="0.25"/>
    <row r="203" spans="2:19" outlineLevel="1" x14ac:dyDescent="0.25"/>
    <row r="204" spans="2:19" outlineLevel="1" x14ac:dyDescent="0.25"/>
    <row r="205" spans="2:19" outlineLevel="1" x14ac:dyDescent="0.25"/>
    <row r="206" spans="2:19" outlineLevel="1" x14ac:dyDescent="0.25"/>
    <row r="207" spans="2:19" ht="13.5" outlineLevel="1" x14ac:dyDescent="0.35">
      <c r="B207" s="303" t="str">
        <f xml:space="preserve"> "Net change in PCC (l/h/day) from 2012-13 to " &amp; Year &amp; " as a %"</f>
        <v>Net change in PCC (l/h/day) from 2012-13 to 2019-20 as a %</v>
      </c>
      <c r="C207" s="31"/>
      <c r="D207" s="31"/>
      <c r="E207" s="31"/>
      <c r="F207" s="31"/>
      <c r="G207" s="31"/>
      <c r="H207" s="31"/>
      <c r="I207" s="31"/>
      <c r="J207" s="31"/>
      <c r="K207" s="31"/>
      <c r="L207" s="31"/>
      <c r="M207" s="31"/>
      <c r="N207" s="31"/>
      <c r="O207" s="31"/>
      <c r="P207" s="31"/>
      <c r="Q207" s="31"/>
      <c r="R207" s="31"/>
      <c r="S207" s="31"/>
    </row>
    <row r="208" spans="2:19" outlineLevel="1" x14ac:dyDescent="0.25"/>
    <row r="209" spans="3:6" ht="37.5" outlineLevel="1" x14ac:dyDescent="0.25">
      <c r="C209" s="288" t="s">
        <v>640</v>
      </c>
      <c r="D209" s="288" t="s">
        <v>223</v>
      </c>
      <c r="E209" s="293" t="s">
        <v>669</v>
      </c>
      <c r="F209" s="293" t="str">
        <f xml:space="preserve"> "% change since " &amp; Last_year</f>
        <v>% change since 2018-19</v>
      </c>
    </row>
    <row r="210" spans="3:6" outlineLevel="1" x14ac:dyDescent="0.25">
      <c r="C210" s="81">
        <v>1</v>
      </c>
      <c r="D210" s="171" t="str">
        <f xml:space="preserve"> INDEX( CALCS│Outcomes!$C$80:$C$96, MATCH( E210, CALCS│Outcomes!$O$80:$O$96, 0 ) )</f>
        <v>SRN</v>
      </c>
      <c r="E210" s="94">
        <f xml:space="preserve"> SMALL( CALCS│Outcomes!$O$80:$O$96, C210 )</f>
        <v>-0.1176197715382989</v>
      </c>
      <c r="F210" s="94">
        <f xml:space="preserve"> SUMIFS( CALCS│Outcomes!$R$80:$R$96, CALCS│Outcomes!$C$80:$C$96, $D210 )</f>
        <v>-2.4658318162562254E-2</v>
      </c>
    </row>
    <row r="211" spans="3:6" outlineLevel="1" x14ac:dyDescent="0.25">
      <c r="C211" s="81">
        <v>2</v>
      </c>
      <c r="D211" s="171" t="str">
        <f xml:space="preserve"> INDEX( CALCS│Outcomes!$C$80:$C$96, MATCH( E211, CALCS│Outcomes!$O$80:$O$96, 0 ) )</f>
        <v>SES</v>
      </c>
      <c r="E211" s="94">
        <f xml:space="preserve"> SMALL( CALCS│Outcomes!$O$80:$O$96, C211 )</f>
        <v>-7.3695048850640668E-2</v>
      </c>
      <c r="F211" s="94">
        <f xml:space="preserve"> SUMIFS( CALCS│Outcomes!$R$80:$R$96, CALCS│Outcomes!$C$80:$C$96, $D211 )</f>
        <v>-5.7548677617468263E-2</v>
      </c>
    </row>
    <row r="212" spans="3:6" outlineLevel="1" x14ac:dyDescent="0.25">
      <c r="C212" s="81">
        <v>3</v>
      </c>
      <c r="D212" s="171" t="str">
        <f xml:space="preserve"> INDEX( CALCS│Outcomes!$C$80:$C$96, MATCH( E212, CALCS│Outcomes!$O$80:$O$96, 0 ) )</f>
        <v>TMS</v>
      </c>
      <c r="E212" s="94">
        <f xml:space="preserve"> SMALL( CALCS│Outcomes!$O$80:$O$96, C212 )</f>
        <v>-6.4547922785584966E-2</v>
      </c>
      <c r="F212" s="94">
        <f xml:space="preserve"> SUMIFS( CALCS│Outcomes!$R$80:$R$96, CALCS│Outcomes!$C$80:$C$96, $D212 )</f>
        <v>-3.4023884754345196E-3</v>
      </c>
    </row>
    <row r="213" spans="3:6" outlineLevel="1" x14ac:dyDescent="0.25">
      <c r="C213" s="81">
        <v>4</v>
      </c>
      <c r="D213" s="171" t="str">
        <f xml:space="preserve"> INDEX( CALCS│Outcomes!$C$80:$C$96, MATCH( E213, CALCS│Outcomes!$O$80:$O$96, 0 ) )</f>
        <v>SEW</v>
      </c>
      <c r="E213" s="94">
        <f xml:space="preserve"> SMALL( CALCS│Outcomes!$O$80:$O$96, C213 )</f>
        <v>-6.0718347247009356E-2</v>
      </c>
      <c r="F213" s="94">
        <f xml:space="preserve"> SUMIFS( CALCS│Outcomes!$R$80:$R$96, CALCS│Outcomes!$C$80:$C$96, $D213 )</f>
        <v>-1.5371644454372413E-2</v>
      </c>
    </row>
    <row r="214" spans="3:6" outlineLevel="1" x14ac:dyDescent="0.25">
      <c r="C214" s="81">
        <v>5</v>
      </c>
      <c r="D214" s="171" t="str">
        <f xml:space="preserve"> INDEX( CALCS│Outcomes!$C$80:$C$96, MATCH( E214, CALCS│Outcomes!$O$80:$O$96, 0 ) )</f>
        <v>ANH</v>
      </c>
      <c r="E214" s="94">
        <f xml:space="preserve"> SMALL( CALCS│Outcomes!$O$80:$O$96, C214 )</f>
        <v>-1.0059593033052101E-2</v>
      </c>
      <c r="F214" s="94">
        <f xml:space="preserve"> SUMIFS( CALCS│Outcomes!$R$80:$R$96, CALCS│Outcomes!$C$80:$C$96, $D214 )</f>
        <v>-6.4761095828304036E-3</v>
      </c>
    </row>
    <row r="215" spans="3:6" outlineLevel="1" x14ac:dyDescent="0.25">
      <c r="C215" s="81">
        <v>6</v>
      </c>
      <c r="D215" s="171" t="str">
        <f xml:space="preserve"> INDEX( CALCS│Outcomes!$C$80:$C$96, MATCH( E215, CALCS│Outcomes!$O$80:$O$96, 0 ) )</f>
        <v>SSC</v>
      </c>
      <c r="E215" s="94">
        <f xml:space="preserve"> SMALL( CALCS│Outcomes!$O$80:$O$96, C215 )</f>
        <v>-9.1433707537216698E-3</v>
      </c>
      <c r="F215" s="94">
        <f xml:space="preserve"> SUMIFS( CALCS│Outcomes!$R$80:$R$96, CALCS│Outcomes!$C$80:$C$96, $D215 )</f>
        <v>-5.7469971993366044E-2</v>
      </c>
    </row>
    <row r="216" spans="3:6" outlineLevel="1" x14ac:dyDescent="0.25">
      <c r="C216" s="81">
        <v>7</v>
      </c>
      <c r="D216" s="171" t="str">
        <f xml:space="preserve"> INDEX( CALCS│Outcomes!$C$80:$C$96, MATCH( E216, CALCS│Outcomes!$O$80:$O$96, 0 ) )</f>
        <v>YKY</v>
      </c>
      <c r="E216" s="94">
        <f xml:space="preserve"> SMALL( CALCS│Outcomes!$O$80:$O$96, C216 )</f>
        <v>1.0099715971588008E-2</v>
      </c>
      <c r="F216" s="94">
        <f xml:space="preserve"> SUMIFS( CALCS│Outcomes!$R$80:$R$96, CALCS│Outcomes!$C$80:$C$96, $D216 )</f>
        <v>1.0604447754492386E-2</v>
      </c>
    </row>
    <row r="217" spans="3:6" outlineLevel="1" x14ac:dyDescent="0.25">
      <c r="C217" s="81">
        <v>8</v>
      </c>
      <c r="D217" s="171" t="str">
        <f xml:space="preserve"> INDEX( CALCS│Outcomes!$C$80:$C$96, MATCH( E217, CALCS│Outcomes!$O$80:$O$96, 0 ) )</f>
        <v>PRT</v>
      </c>
      <c r="E217" s="94">
        <f xml:space="preserve"> SMALL( CALCS│Outcomes!$O$80:$O$96, C217 )</f>
        <v>3.0921822052497099E-2</v>
      </c>
      <c r="F217" s="94">
        <f xml:space="preserve"> SUMIFS( CALCS│Outcomes!$R$80:$R$96, CALCS│Outcomes!$C$80:$C$96, $D217 )</f>
        <v>-4.7876445353600451E-3</v>
      </c>
    </row>
    <row r="218" spans="3:6" outlineLevel="1" x14ac:dyDescent="0.25">
      <c r="C218" s="81">
        <v>9</v>
      </c>
      <c r="D218" s="171" t="str">
        <f xml:space="preserve"> INDEX( CALCS│Outcomes!$C$80:$C$96, MATCH( E218, CALCS│Outcomes!$O$80:$O$96, 0 ) )</f>
        <v>NES</v>
      </c>
      <c r="E218" s="94">
        <f xml:space="preserve"> SMALL( CALCS│Outcomes!$O$80:$O$96, C218 )</f>
        <v>3.1825342308650119E-2</v>
      </c>
      <c r="F218" s="94">
        <f xml:space="preserve"> SUMIFS( CALCS│Outcomes!$R$80:$R$96, CALCS│Outcomes!$C$80:$C$96, $D218 )</f>
        <v>-2.1535318132139353E-2</v>
      </c>
    </row>
    <row r="219" spans="3:6" outlineLevel="1" x14ac:dyDescent="0.25">
      <c r="C219" s="81">
        <v>10</v>
      </c>
      <c r="D219" s="171" t="str">
        <f xml:space="preserve"> INDEX( CALCS│Outcomes!$C$80:$C$96, MATCH( E219, CALCS│Outcomes!$O$80:$O$96, 0 ) )</f>
        <v>BRL</v>
      </c>
      <c r="E219" s="94">
        <f xml:space="preserve"> SMALL( CALCS│Outcomes!$O$80:$O$96, C219 )</f>
        <v>4.166051716717209E-2</v>
      </c>
      <c r="F219" s="94">
        <f xml:space="preserve"> SUMIFS( CALCS│Outcomes!$R$80:$R$96, CALCS│Outcomes!$C$80:$C$96, $D219 )</f>
        <v>-2.7697008492046014E-2</v>
      </c>
    </row>
    <row r="220" spans="3:6" outlineLevel="1" x14ac:dyDescent="0.25">
      <c r="C220" s="81">
        <v>11</v>
      </c>
      <c r="D220" s="171" t="str">
        <f xml:space="preserve"> INDEX( CALCS│Outcomes!$C$80:$C$96, MATCH( E220, CALCS│Outcomes!$O$80:$O$96, 0 ) )</f>
        <v>AFW</v>
      </c>
      <c r="E220" s="94">
        <f xml:space="preserve"> SMALL( CALCS│Outcomes!$O$80:$O$96, C220 )</f>
        <v>4.4383565038189438E-2</v>
      </c>
      <c r="F220" s="94">
        <f xml:space="preserve"> SUMIFS( CALCS│Outcomes!$R$80:$R$96, CALCS│Outcomes!$C$80:$C$96, $D220 )</f>
        <v>-2.4138035359418046E-2</v>
      </c>
    </row>
    <row r="221" spans="3:6" outlineLevel="1" x14ac:dyDescent="0.25">
      <c r="C221" s="81">
        <v>12</v>
      </c>
      <c r="D221" s="171" t="str">
        <f xml:space="preserve"> INDEX( CALCS│Outcomes!$C$80:$C$96, MATCH( E221, CALCS│Outcomes!$O$80:$O$96, 0 ) )</f>
        <v>HDD</v>
      </c>
      <c r="E221" s="94">
        <f xml:space="preserve"> SMALL( CALCS│Outcomes!$O$80:$O$96, C221 )</f>
        <v>4.5792454256916394E-2</v>
      </c>
      <c r="F221" s="94">
        <f xml:space="preserve"> SUMIFS( CALCS│Outcomes!$R$80:$R$96, CALCS│Outcomes!$C$80:$C$96, $D221 )</f>
        <v>1.466507061892352E-4</v>
      </c>
    </row>
    <row r="222" spans="3:6" outlineLevel="1" x14ac:dyDescent="0.25">
      <c r="C222" s="81">
        <v>13</v>
      </c>
      <c r="D222" s="171" t="str">
        <f xml:space="preserve"> INDEX( CALCS│Outcomes!$C$80:$C$96, MATCH( E222, CALCS│Outcomes!$O$80:$O$96, 0 ) )</f>
        <v>SVE</v>
      </c>
      <c r="E222" s="94">
        <f xml:space="preserve"> SMALL( CALCS│Outcomes!$O$80:$O$96, C222 )</f>
        <v>6.1859910669574941E-2</v>
      </c>
      <c r="F222" s="94">
        <f xml:space="preserve"> SUMIFS( CALCS│Outcomes!$R$80:$R$96, CALCS│Outcomes!$C$80:$C$96, $D222 )</f>
        <v>-1.8716094495333773E-2</v>
      </c>
    </row>
    <row r="223" spans="3:6" outlineLevel="1" x14ac:dyDescent="0.25">
      <c r="C223" s="81">
        <v>14</v>
      </c>
      <c r="D223" s="171" t="str">
        <f xml:space="preserve"> INDEX( CALCS│Outcomes!$C$80:$C$96, MATCH( E223, CALCS│Outcomes!$O$80:$O$96, 0 ) )</f>
        <v>WSX</v>
      </c>
      <c r="E223" s="94">
        <f xml:space="preserve"> SMALL( CALCS│Outcomes!$O$80:$O$96, C223 )</f>
        <v>6.9220743914511468E-2</v>
      </c>
      <c r="F223" s="94">
        <f xml:space="preserve"> SUMIFS( CALCS│Outcomes!$R$80:$R$96, CALCS│Outcomes!$C$80:$C$96, $D223 )</f>
        <v>-1.0456336778607285E-2</v>
      </c>
    </row>
    <row r="224" spans="3:6" outlineLevel="1" x14ac:dyDescent="0.25">
      <c r="C224" s="81">
        <v>15</v>
      </c>
      <c r="D224" s="171" t="str">
        <f xml:space="preserve"> INDEX( CALCS│Outcomes!$C$80:$C$96, MATCH( E224, CALCS│Outcomes!$O$80:$O$96, 0 ) )</f>
        <v>SWB</v>
      </c>
      <c r="E224" s="94">
        <f xml:space="preserve"> SMALL( CALCS│Outcomes!$O$80:$O$96, C224 )</f>
        <v>0.10602529909554942</v>
      </c>
      <c r="F224" s="94">
        <f xml:space="preserve"> SUMIFS( CALCS│Outcomes!$R$80:$R$96, CALCS│Outcomes!$C$80:$C$96, $D224 )</f>
        <v>-2.2114136314756255E-2</v>
      </c>
    </row>
    <row r="225" spans="2:19" outlineLevel="1" x14ac:dyDescent="0.25">
      <c r="C225" s="81">
        <v>16</v>
      </c>
      <c r="D225" s="171" t="str">
        <f xml:space="preserve"> INDEX( CALCS│Outcomes!$C$80:$C$96, MATCH( E225, CALCS│Outcomes!$O$80:$O$96, 0 ) )</f>
        <v>UU</v>
      </c>
      <c r="E225" s="94">
        <f xml:space="preserve"> SMALL( CALCS│Outcomes!$O$80:$O$96, C225 )</f>
        <v>0.1061289096968005</v>
      </c>
      <c r="F225" s="94">
        <f xml:space="preserve"> SUMIFS( CALCS│Outcomes!$R$80:$R$96, CALCS│Outcomes!$C$80:$C$96, $D225 )</f>
        <v>-1.729734198466602E-2</v>
      </c>
    </row>
    <row r="226" spans="2:19" outlineLevel="1" x14ac:dyDescent="0.25">
      <c r="C226" s="81">
        <v>17</v>
      </c>
      <c r="D226" s="171" t="str">
        <f xml:space="preserve"> INDEX( CALCS│Outcomes!$C$80:$C$96, MATCH( E226, CALCS│Outcomes!$O$80:$O$96, 0 ) )</f>
        <v>WSH</v>
      </c>
      <c r="E226" s="94">
        <f xml:space="preserve"> SMALL( CALCS│Outcomes!$O$80:$O$96, C226 )</f>
        <v>0.10628249068378841</v>
      </c>
      <c r="F226" s="94">
        <f xml:space="preserve"> SUMIFS( CALCS│Outcomes!$R$80:$R$96, CALCS│Outcomes!$C$80:$C$96, $D226 )</f>
        <v>1.4880737886492438E-2</v>
      </c>
    </row>
    <row r="227" spans="2:19" outlineLevel="1" x14ac:dyDescent="0.25">
      <c r="D227" s="76" t="s">
        <v>424</v>
      </c>
      <c r="E227" s="302">
        <f>CALCS│Outcomes!O98</f>
        <v>1.7844560228875313E-2</v>
      </c>
      <c r="F227" s="302">
        <f>CALCS│Outcomes!R98</f>
        <v>-1.2522685803890045E-2</v>
      </c>
    </row>
    <row r="229" spans="2:19" ht="13.5" x14ac:dyDescent="0.35">
      <c r="B229" s="9" t="s">
        <v>224</v>
      </c>
      <c r="C229" s="9"/>
      <c r="D229" s="10"/>
      <c r="E229" s="10"/>
      <c r="F229" s="10"/>
      <c r="G229" s="10"/>
      <c r="H229" s="10"/>
      <c r="I229" s="10"/>
      <c r="J229" s="10"/>
      <c r="K229" s="10"/>
      <c r="L229" s="9" t="s">
        <v>654</v>
      </c>
      <c r="M229" s="10"/>
      <c r="N229" s="10"/>
      <c r="O229" s="10"/>
      <c r="P229" s="10"/>
      <c r="Q229" s="10"/>
      <c r="R229" s="10"/>
      <c r="S229" s="10"/>
    </row>
    <row r="230" spans="2:19" outlineLevel="1" x14ac:dyDescent="0.25"/>
    <row r="231" spans="2:19" ht="13.5" outlineLevel="1" x14ac:dyDescent="0.35">
      <c r="B231" s="31" t="s">
        <v>653</v>
      </c>
      <c r="C231" s="31"/>
      <c r="D231" s="31"/>
      <c r="E231" s="31"/>
      <c r="F231" s="31"/>
      <c r="G231" s="31"/>
      <c r="H231" s="31"/>
      <c r="I231" s="31"/>
      <c r="J231" s="31"/>
      <c r="K231" s="31"/>
      <c r="L231" s="31"/>
      <c r="M231" s="31"/>
      <c r="N231" s="31"/>
      <c r="O231" s="31"/>
      <c r="P231" s="31"/>
      <c r="Q231" s="31"/>
      <c r="R231" s="31"/>
      <c r="S231" s="31"/>
    </row>
    <row r="232" spans="2:19" outlineLevel="1" x14ac:dyDescent="0.25"/>
    <row r="233" spans="2:19" outlineLevel="1" x14ac:dyDescent="0.25"/>
    <row r="234" spans="2:19" outlineLevel="1" x14ac:dyDescent="0.25"/>
    <row r="235" spans="2:19" outlineLevel="1" x14ac:dyDescent="0.25"/>
    <row r="236" spans="2:19" outlineLevel="1" x14ac:dyDescent="0.25"/>
    <row r="237" spans="2:19" outlineLevel="1" x14ac:dyDescent="0.25"/>
    <row r="238" spans="2:19" outlineLevel="1" x14ac:dyDescent="0.25"/>
    <row r="239" spans="2:19" outlineLevel="1" x14ac:dyDescent="0.25"/>
    <row r="240" spans="2:19" outlineLevel="1" x14ac:dyDescent="0.25"/>
    <row r="241" spans="2:19" outlineLevel="1" x14ac:dyDescent="0.25"/>
    <row r="242" spans="2:19" outlineLevel="1" x14ac:dyDescent="0.25"/>
    <row r="243" spans="2:19" outlineLevel="1" x14ac:dyDescent="0.25"/>
    <row r="244" spans="2:19" outlineLevel="1" x14ac:dyDescent="0.25"/>
    <row r="245" spans="2:19" outlineLevel="1" x14ac:dyDescent="0.25"/>
    <row r="246" spans="2:19" outlineLevel="1" x14ac:dyDescent="0.25"/>
    <row r="247" spans="2:19" outlineLevel="1" x14ac:dyDescent="0.25"/>
    <row r="248" spans="2:19" outlineLevel="1" x14ac:dyDescent="0.25"/>
    <row r="249" spans="2:19" outlineLevel="1" x14ac:dyDescent="0.25"/>
    <row r="250" spans="2:19" outlineLevel="1" x14ac:dyDescent="0.25"/>
    <row r="251" spans="2:19" ht="13.5" outlineLevel="1" x14ac:dyDescent="0.35">
      <c r="B251" s="303" t="str">
        <f xml:space="preserve"> "Net change in supply interruptions (mins/property) from 2012-13 to " &amp; Year</f>
        <v>Net change in supply interruptions (mins/property) from 2012-13 to 2019-20</v>
      </c>
      <c r="C251" s="31"/>
      <c r="D251" s="31"/>
      <c r="E251" s="31"/>
      <c r="F251" s="31"/>
      <c r="G251" s="31"/>
      <c r="H251" s="31"/>
      <c r="I251" s="31"/>
      <c r="J251" s="31"/>
      <c r="K251" s="31"/>
      <c r="L251" s="31"/>
      <c r="M251" s="31"/>
      <c r="N251" s="31"/>
      <c r="O251" s="31"/>
      <c r="P251" s="31"/>
      <c r="Q251" s="31"/>
      <c r="R251" s="31"/>
      <c r="S251" s="31"/>
    </row>
    <row r="252" spans="2:19" outlineLevel="1" x14ac:dyDescent="0.25"/>
    <row r="253" spans="2:19" ht="37.5" outlineLevel="1" x14ac:dyDescent="0.25">
      <c r="C253" s="288" t="s">
        <v>640</v>
      </c>
      <c r="D253" s="288" t="s">
        <v>223</v>
      </c>
      <c r="E253" s="293" t="s">
        <v>669</v>
      </c>
    </row>
    <row r="254" spans="2:19" outlineLevel="1" x14ac:dyDescent="0.25">
      <c r="C254" s="81">
        <v>1</v>
      </c>
      <c r="D254" s="171" t="str">
        <f xml:space="preserve"> INDEX( CALCS│Outcomes!$C$150:$C$166, MATCH( E254, CALCS│Outcomes!$O$150:$O$166, 0 ) )</f>
        <v>SES</v>
      </c>
      <c r="E254" s="94">
        <f xml:space="preserve"> SMALL( CALCS│Outcomes!$O$150:$O$166, C254 )</f>
        <v>-0.92</v>
      </c>
    </row>
    <row r="255" spans="2:19" outlineLevel="1" x14ac:dyDescent="0.25">
      <c r="C255" s="81">
        <v>2</v>
      </c>
      <c r="D255" s="171" t="str">
        <f xml:space="preserve"> INDEX( CALCS│Outcomes!$C$150:$C$166, MATCH( E255, CALCS│Outcomes!$O$150:$O$166, 0 ) )</f>
        <v>SVE</v>
      </c>
      <c r="E255" s="94">
        <f xml:space="preserve"> SMALL( CALCS│Outcomes!$O$150:$O$166, C255 )</f>
        <v>-0.74826388888888884</v>
      </c>
    </row>
    <row r="256" spans="2:19" outlineLevel="1" x14ac:dyDescent="0.25">
      <c r="C256" s="81">
        <v>3</v>
      </c>
      <c r="D256" s="171" t="str">
        <f xml:space="preserve"> INDEX( CALCS│Outcomes!$C$150:$C$166, MATCH( E256, CALCS│Outcomes!$O$150:$O$166, 0 ) )</f>
        <v>WSH</v>
      </c>
      <c r="E256" s="94">
        <f xml:space="preserve"> SMALL( CALCS│Outcomes!$O$150:$O$166, C256 )</f>
        <v>-0.72264150943396221</v>
      </c>
    </row>
    <row r="257" spans="3:5" outlineLevel="1" x14ac:dyDescent="0.25">
      <c r="C257" s="81">
        <v>4</v>
      </c>
      <c r="D257" s="171" t="str">
        <f xml:space="preserve"> INDEX( CALCS│Outcomes!$C$150:$C$166, MATCH( E257, CALCS│Outcomes!$O$150:$O$166, 0 ) )</f>
        <v>WSX</v>
      </c>
      <c r="E257" s="94">
        <f xml:space="preserve"> SMALL( CALCS│Outcomes!$O$150:$O$166, C257 )</f>
        <v>-0.68333333333333324</v>
      </c>
    </row>
    <row r="258" spans="3:5" outlineLevel="1" x14ac:dyDescent="0.25">
      <c r="C258" s="81">
        <v>5</v>
      </c>
      <c r="D258" s="171" t="str">
        <f xml:space="preserve"> INDEX( CALCS│Outcomes!$C$150:$C$166, MATCH( E258, CALCS│Outcomes!$O$150:$O$166, 0 ) )</f>
        <v>SSC</v>
      </c>
      <c r="E258" s="94">
        <f xml:space="preserve"> SMALL( CALCS│Outcomes!$O$150:$O$166, C258 )</f>
        <v>-0.65967840955190182</v>
      </c>
    </row>
    <row r="259" spans="3:5" outlineLevel="1" x14ac:dyDescent="0.25">
      <c r="C259" s="81">
        <v>6</v>
      </c>
      <c r="D259" s="171" t="str">
        <f xml:space="preserve"> INDEX( CALCS│Outcomes!$C$150:$C$166, MATCH( E259, CALCS│Outcomes!$O$150:$O$166, 0 ) )</f>
        <v>BRL</v>
      </c>
      <c r="E259" s="94">
        <f xml:space="preserve"> SMALL( CALCS│Outcomes!$O$150:$O$166, C259 )</f>
        <v>-0.60630477806050331</v>
      </c>
    </row>
    <row r="260" spans="3:5" outlineLevel="1" x14ac:dyDescent="0.25">
      <c r="C260" s="81">
        <v>7</v>
      </c>
      <c r="D260" s="171" t="str">
        <f xml:space="preserve"> INDEX( CALCS│Outcomes!$C$150:$C$166, MATCH( E260, CALCS│Outcomes!$O$150:$O$166, 0 ) )</f>
        <v>UU</v>
      </c>
      <c r="E260" s="94">
        <f xml:space="preserve"> SMALL( CALCS│Outcomes!$O$150:$O$166, C260 )</f>
        <v>-0.43162790697674419</v>
      </c>
    </row>
    <row r="261" spans="3:5" outlineLevel="1" x14ac:dyDescent="0.25">
      <c r="C261" s="81">
        <v>8</v>
      </c>
      <c r="D261" s="171" t="str">
        <f xml:space="preserve"> INDEX( CALCS│Outcomes!$C$150:$C$166, MATCH( E261, CALCS│Outcomes!$O$150:$O$166, 0 ) )</f>
        <v>SRN</v>
      </c>
      <c r="E261" s="94">
        <f xml:space="preserve"> SMALL( CALCS│Outcomes!$O$150:$O$166, C261 )</f>
        <v>-0.37388888888888894</v>
      </c>
    </row>
    <row r="262" spans="3:5" outlineLevel="1" x14ac:dyDescent="0.25">
      <c r="C262" s="81">
        <v>9</v>
      </c>
      <c r="D262" s="171" t="str">
        <f xml:space="preserve"> INDEX( CALCS│Outcomes!$C$150:$C$166, MATCH( E262, CALCS│Outcomes!$O$150:$O$166, 0 ) )</f>
        <v>AFW</v>
      </c>
      <c r="E262" s="94">
        <f xml:space="preserve"> SMALL( CALCS│Outcomes!$O$150:$O$166, C262 )</f>
        <v>-0.30116678642764222</v>
      </c>
    </row>
    <row r="263" spans="3:5" outlineLevel="1" x14ac:dyDescent="0.25">
      <c r="C263" s="81">
        <v>10</v>
      </c>
      <c r="D263" s="171" t="str">
        <f xml:space="preserve"> INDEX( CALCS│Outcomes!$C$150:$C$166, MATCH( E263, CALCS│Outcomes!$O$150:$O$166, 0 ) )</f>
        <v>SWB</v>
      </c>
      <c r="E263" s="94">
        <f xml:space="preserve"> SMALL( CALCS│Outcomes!$O$150:$O$166, C263 )</f>
        <v>-0.28987514943828702</v>
      </c>
    </row>
    <row r="264" spans="3:5" outlineLevel="1" x14ac:dyDescent="0.25">
      <c r="C264" s="81">
        <v>11</v>
      </c>
      <c r="D264" s="171" t="str">
        <f xml:space="preserve"> INDEX( CALCS│Outcomes!$C$150:$C$166, MATCH( E264, CALCS│Outcomes!$O$150:$O$166, 0 ) )</f>
        <v>YKY</v>
      </c>
      <c r="E264" s="94">
        <f xml:space="preserve"> SMALL( CALCS│Outcomes!$O$150:$O$166, C264 )</f>
        <v>-0.25882352941176484</v>
      </c>
    </row>
    <row r="265" spans="3:5" outlineLevel="1" x14ac:dyDescent="0.25">
      <c r="C265" s="81">
        <v>12</v>
      </c>
      <c r="D265" s="171" t="str">
        <f xml:space="preserve"> INDEX( CALCS│Outcomes!$C$150:$C$166, MATCH( E265, CALCS│Outcomes!$O$150:$O$166, 0 ) )</f>
        <v>SEW</v>
      </c>
      <c r="E265" s="94">
        <f xml:space="preserve"> SMALL( CALCS│Outcomes!$O$150:$O$166, C265 )</f>
        <v>-0.24242424242424238</v>
      </c>
    </row>
    <row r="266" spans="3:5" outlineLevel="1" x14ac:dyDescent="0.25">
      <c r="C266" s="81">
        <v>13</v>
      </c>
      <c r="D266" s="171" t="str">
        <f xml:space="preserve"> INDEX( CALCS│Outcomes!$C$150:$C$166, MATCH( E266, CALCS│Outcomes!$O$150:$O$166, 0 ) )</f>
        <v>PRT</v>
      </c>
      <c r="E266" s="94">
        <f xml:space="preserve"> SMALL( CALCS│Outcomes!$O$150:$O$166, C266 )</f>
        <v>-0.16252072968490888</v>
      </c>
    </row>
    <row r="267" spans="3:5" outlineLevel="1" x14ac:dyDescent="0.25">
      <c r="C267" s="81">
        <v>14</v>
      </c>
      <c r="D267" s="171" t="str">
        <f xml:space="preserve"> INDEX( CALCS│Outcomes!$C$150:$C$166, MATCH( E267, CALCS│Outcomes!$O$150:$O$166, 0 ) )</f>
        <v>NES</v>
      </c>
      <c r="E267" s="94">
        <f xml:space="preserve"> SMALL( CALCS│Outcomes!$O$150:$O$166, C267 )</f>
        <v>-0.11750599520383677</v>
      </c>
    </row>
    <row r="268" spans="3:5" outlineLevel="1" x14ac:dyDescent="0.25">
      <c r="C268" s="81">
        <v>15</v>
      </c>
      <c r="D268" s="171" t="str">
        <f xml:space="preserve"> INDEX( CALCS│Outcomes!$C$150:$C$166, MATCH( E268, CALCS│Outcomes!$O$150:$O$166, 0 ) )</f>
        <v>HDD</v>
      </c>
      <c r="E268" s="94">
        <f xml:space="preserve"> SMALL( CALCS│Outcomes!$O$150:$O$166, C268 )</f>
        <v>8.2692307692307634E-2</v>
      </c>
    </row>
    <row r="269" spans="3:5" outlineLevel="1" x14ac:dyDescent="0.25">
      <c r="C269" s="81">
        <v>16</v>
      </c>
      <c r="D269" s="171" t="str">
        <f xml:space="preserve"> INDEX( CALCS│Outcomes!$C$150:$C$166, MATCH( E269, CALCS│Outcomes!$O$150:$O$166, 0 ) )</f>
        <v>ANH</v>
      </c>
      <c r="E269" s="94">
        <f xml:space="preserve"> SMALL( CALCS│Outcomes!$O$150:$O$166, C269 )</f>
        <v>0.35144927536231868</v>
      </c>
    </row>
    <row r="270" spans="3:5" outlineLevel="1" x14ac:dyDescent="0.25">
      <c r="C270" s="81">
        <v>17</v>
      </c>
      <c r="D270" s="171" t="str">
        <f xml:space="preserve"> INDEX( CALCS│Outcomes!$C$150:$C$166, MATCH( E270, CALCS│Outcomes!$O$150:$O$166, 0 ) )</f>
        <v>TMS</v>
      </c>
      <c r="E270" s="94">
        <f xml:space="preserve"> SMALL( CALCS│Outcomes!$O$150:$O$166, C270 )</f>
        <v>0.64062499999999989</v>
      </c>
    </row>
    <row r="271" spans="3:5" outlineLevel="1" x14ac:dyDescent="0.25">
      <c r="D271" s="76" t="s">
        <v>424</v>
      </c>
      <c r="E271" s="302">
        <f>CALCS│Outcomes!O168</f>
        <v>-0.36160588884373779</v>
      </c>
    </row>
    <row r="273" spans="2:19" ht="13.5" x14ac:dyDescent="0.35">
      <c r="B273" s="9" t="s">
        <v>165</v>
      </c>
      <c r="C273" s="9"/>
      <c r="D273" s="10"/>
      <c r="E273" s="10"/>
      <c r="F273" s="10"/>
      <c r="G273" s="10"/>
      <c r="H273" s="10"/>
      <c r="I273" s="10"/>
      <c r="J273" s="10"/>
      <c r="K273" s="10"/>
      <c r="L273" s="9" t="s">
        <v>656</v>
      </c>
      <c r="M273" s="10"/>
      <c r="N273" s="10"/>
      <c r="O273" s="10"/>
      <c r="P273" s="10"/>
      <c r="Q273" s="10"/>
      <c r="R273" s="10"/>
      <c r="S273" s="10"/>
    </row>
    <row r="274" spans="2:19" outlineLevel="1" x14ac:dyDescent="0.25"/>
    <row r="275" spans="2:19" ht="13.5" outlineLevel="1" x14ac:dyDescent="0.35">
      <c r="B275" s="31" t="s">
        <v>655</v>
      </c>
      <c r="C275" s="31"/>
      <c r="D275" s="31"/>
      <c r="E275" s="31"/>
      <c r="F275" s="31"/>
      <c r="G275" s="31"/>
      <c r="H275" s="31"/>
      <c r="I275" s="31"/>
      <c r="J275" s="31"/>
      <c r="K275" s="31"/>
      <c r="L275" s="31"/>
      <c r="M275" s="31"/>
      <c r="N275" s="31"/>
      <c r="O275" s="31"/>
      <c r="P275" s="31"/>
      <c r="Q275" s="31"/>
      <c r="R275" s="31"/>
      <c r="S275" s="31"/>
    </row>
    <row r="276" spans="2:19" outlineLevel="1" x14ac:dyDescent="0.25"/>
    <row r="277" spans="2:19" outlineLevel="1" x14ac:dyDescent="0.25"/>
    <row r="278" spans="2:19" outlineLevel="1" x14ac:dyDescent="0.25"/>
    <row r="279" spans="2:19" outlineLevel="1" x14ac:dyDescent="0.25"/>
    <row r="280" spans="2:19" outlineLevel="1" x14ac:dyDescent="0.25"/>
    <row r="281" spans="2:19" outlineLevel="1" x14ac:dyDescent="0.25"/>
    <row r="282" spans="2:19" outlineLevel="1" x14ac:dyDescent="0.25"/>
    <row r="283" spans="2:19" outlineLevel="1" x14ac:dyDescent="0.25"/>
    <row r="284" spans="2:19" outlineLevel="1" x14ac:dyDescent="0.25"/>
    <row r="285" spans="2:19" outlineLevel="1" x14ac:dyDescent="0.25"/>
    <row r="286" spans="2:19" outlineLevel="1" x14ac:dyDescent="0.25"/>
    <row r="287" spans="2:19" outlineLevel="1" x14ac:dyDescent="0.25"/>
    <row r="288" spans="2:19" outlineLevel="1" x14ac:dyDescent="0.25"/>
    <row r="289" spans="2:19" outlineLevel="1" x14ac:dyDescent="0.25"/>
    <row r="290" spans="2:19" outlineLevel="1" x14ac:dyDescent="0.25"/>
    <row r="291" spans="2:19" outlineLevel="1" x14ac:dyDescent="0.25"/>
    <row r="292" spans="2:19" outlineLevel="1" x14ac:dyDescent="0.25"/>
    <row r="293" spans="2:19" outlineLevel="1" x14ac:dyDescent="0.25"/>
    <row r="294" spans="2:19" outlineLevel="1" x14ac:dyDescent="0.25"/>
    <row r="295" spans="2:19" ht="13.5" outlineLevel="1" x14ac:dyDescent="0.35">
      <c r="B295" s="303" t="str">
        <f xml:space="preserve"> "Net change in water quality contacts from 2012-13 to " &amp; Year</f>
        <v>Net change in water quality contacts from 2012-13 to 2019-20</v>
      </c>
      <c r="C295" s="31"/>
      <c r="D295" s="31"/>
      <c r="E295" s="31"/>
      <c r="F295" s="31"/>
      <c r="G295" s="31"/>
      <c r="H295" s="31"/>
      <c r="I295" s="31"/>
      <c r="J295" s="31"/>
      <c r="K295" s="31"/>
      <c r="L295" s="31"/>
      <c r="M295" s="31"/>
      <c r="N295" s="31"/>
      <c r="O295" s="31"/>
      <c r="P295" s="31"/>
      <c r="Q295" s="31"/>
      <c r="R295" s="31"/>
      <c r="S295" s="31"/>
    </row>
    <row r="296" spans="2:19" outlineLevel="1" x14ac:dyDescent="0.25"/>
    <row r="297" spans="2:19" ht="25" outlineLevel="1" x14ac:dyDescent="0.25">
      <c r="C297" s="288" t="s">
        <v>640</v>
      </c>
      <c r="D297" s="288" t="s">
        <v>223</v>
      </c>
      <c r="E297" s="293" t="s">
        <v>672</v>
      </c>
      <c r="F297" s="293" t="s">
        <v>673</v>
      </c>
    </row>
    <row r="298" spans="2:19" outlineLevel="1" x14ac:dyDescent="0.25">
      <c r="C298" s="81">
        <v>1</v>
      </c>
      <c r="D298" s="171" t="str">
        <f xml:space="preserve"> INDEX( CALCS│Outcomes!$C$243:$C$259, MATCH( E298, CALCS│Outcomes!$O$243:$O$259, 0 ) )</f>
        <v>HDD</v>
      </c>
      <c r="E298" s="94">
        <f xml:space="preserve"> SMALL( CALCS│Outcomes!$O$243:$O$259, C298 )</f>
        <v>-0.61280487804878048</v>
      </c>
      <c r="F298" s="94">
        <f xml:space="preserve"> SUMIFS( CALCS│Outcomes!$R$243:$R$259, CALCS│Outcomes!$C$243:$C$259, $D298 )</f>
        <v>-0.15474209650582363</v>
      </c>
    </row>
    <row r="299" spans="2:19" outlineLevel="1" x14ac:dyDescent="0.25">
      <c r="C299" s="81">
        <v>2</v>
      </c>
      <c r="D299" s="171" t="str">
        <f xml:space="preserve"> INDEX( CALCS│Outcomes!$C$243:$C$259, MATCH( E299, CALCS│Outcomes!$O$243:$O$259, 0 ) )</f>
        <v>SWB</v>
      </c>
      <c r="E299" s="94">
        <f xml:space="preserve"> SMALL( CALCS│Outcomes!$O$243:$O$259, C299 )</f>
        <v>-0.5412714429868819</v>
      </c>
      <c r="F299" s="94">
        <f xml:space="preserve"> SUMIFS( CALCS│Outcomes!$R$243:$R$259, CALCS│Outcomes!$C$243:$C$259, $D299 )</f>
        <v>-0.1309501051424202</v>
      </c>
    </row>
    <row r="300" spans="2:19" outlineLevel="1" x14ac:dyDescent="0.25">
      <c r="C300" s="81">
        <v>3</v>
      </c>
      <c r="D300" s="171" t="str">
        <f xml:space="preserve"> INDEX( CALCS│Outcomes!$C$243:$C$259, MATCH( E300, CALCS│Outcomes!$O$243:$O$259, 0 ) )</f>
        <v>NES</v>
      </c>
      <c r="E300" s="94">
        <f xml:space="preserve"> SMALL( CALCS│Outcomes!$O$243:$O$259, C300 )</f>
        <v>-0.43260077564931249</v>
      </c>
      <c r="F300" s="94">
        <f xml:space="preserve"> SUMIFS( CALCS│Outcomes!$R$243:$R$259, CALCS│Outcomes!$C$243:$C$259, $D300 )</f>
        <v>-0.18141742963716515</v>
      </c>
    </row>
    <row r="301" spans="2:19" outlineLevel="1" x14ac:dyDescent="0.25">
      <c r="C301" s="81">
        <v>4</v>
      </c>
      <c r="D301" s="171" t="str">
        <f xml:space="preserve"> INDEX( CALCS│Outcomes!$C$243:$C$259, MATCH( E301, CALCS│Outcomes!$O$243:$O$259, 0 ) )</f>
        <v>YKY</v>
      </c>
      <c r="E301" s="94">
        <f xml:space="preserve"> SMALL( CALCS│Outcomes!$O$243:$O$259, C301 )</f>
        <v>-0.42873283504258647</v>
      </c>
      <c r="F301" s="94">
        <f xml:space="preserve"> SUMIFS( CALCS│Outcomes!$R$243:$R$259, CALCS│Outcomes!$C$243:$C$259, $D301 )</f>
        <v>-0.20788141720896602</v>
      </c>
    </row>
    <row r="302" spans="2:19" outlineLevel="1" x14ac:dyDescent="0.25">
      <c r="C302" s="81">
        <v>5</v>
      </c>
      <c r="D302" s="171" t="str">
        <f xml:space="preserve"> INDEX( CALCS│Outcomes!$C$243:$C$259, MATCH( E302, CALCS│Outcomes!$O$243:$O$259, 0 ) )</f>
        <v>SEW</v>
      </c>
      <c r="E302" s="94">
        <f xml:space="preserve"> SMALL( CALCS│Outcomes!$O$243:$O$259, C302 )</f>
        <v>-0.38450732490467587</v>
      </c>
      <c r="F302" s="94">
        <f xml:space="preserve"> SUMIFS( CALCS│Outcomes!$R$243:$R$259, CALCS│Outcomes!$C$243:$C$259, $D302 )</f>
        <v>-7.620481927710844E-2</v>
      </c>
    </row>
    <row r="303" spans="2:19" outlineLevel="1" x14ac:dyDescent="0.25">
      <c r="C303" s="81">
        <v>6</v>
      </c>
      <c r="D303" s="171" t="str">
        <f xml:space="preserve"> INDEX( CALCS│Outcomes!$C$243:$C$259, MATCH( E303, CALCS│Outcomes!$O$243:$O$259, 0 ) )</f>
        <v>BRL</v>
      </c>
      <c r="E303" s="94">
        <f xml:space="preserve"> SMALL( CALCS│Outcomes!$O$243:$O$259, C303 )</f>
        <v>-0.31761978361669241</v>
      </c>
      <c r="F303" s="94">
        <f xml:space="preserve"> SUMIFS( CALCS│Outcomes!$R$243:$R$259, CALCS│Outcomes!$C$243:$C$259, $D303 )</f>
        <v>-0.12530955918771669</v>
      </c>
    </row>
    <row r="304" spans="2:19" outlineLevel="1" x14ac:dyDescent="0.25">
      <c r="C304" s="81">
        <v>7</v>
      </c>
      <c r="D304" s="171" t="str">
        <f xml:space="preserve"> INDEX( CALCS│Outcomes!$C$243:$C$259, MATCH( E304, CALCS│Outcomes!$O$243:$O$259, 0 ) )</f>
        <v>WSX</v>
      </c>
      <c r="E304" s="94">
        <f xml:space="preserve"> SMALL( CALCS│Outcomes!$O$243:$O$259, C304 )</f>
        <v>-0.31245901639344265</v>
      </c>
      <c r="F304" s="94">
        <f xml:space="preserve"> SUMIFS( CALCS│Outcomes!$R$243:$R$259, CALCS│Outcomes!$C$243:$C$259, $D304 )</f>
        <v>4.3283582089552242E-2</v>
      </c>
    </row>
    <row r="305" spans="2:19" outlineLevel="1" x14ac:dyDescent="0.25">
      <c r="C305" s="81">
        <v>8</v>
      </c>
      <c r="D305" s="171" t="str">
        <f xml:space="preserve"> INDEX( CALCS│Outcomes!$C$243:$C$259, MATCH( E305, CALCS│Outcomes!$O$243:$O$259, 0 ) )</f>
        <v>SSC</v>
      </c>
      <c r="E305" s="94">
        <f xml:space="preserve"> SMALL( CALCS│Outcomes!$O$243:$O$259, C305 )</f>
        <v>-0.3094170403587444</v>
      </c>
      <c r="F305" s="94">
        <f xml:space="preserve"> SUMIFS( CALCS│Outcomes!$R$243:$R$259, CALCS│Outcomes!$C$243:$C$259, $D305 )</f>
        <v>-0.20334261838440112</v>
      </c>
    </row>
    <row r="306" spans="2:19" outlineLevel="1" x14ac:dyDescent="0.25">
      <c r="C306" s="81">
        <v>9</v>
      </c>
      <c r="D306" s="171" t="str">
        <f xml:space="preserve"> INDEX( CALCS│Outcomes!$C$243:$C$259, MATCH( E306, CALCS│Outcomes!$O$243:$O$259, 0 ) )</f>
        <v>ANH</v>
      </c>
      <c r="E306" s="94">
        <f xml:space="preserve"> SMALL( CALCS│Outcomes!$O$243:$O$259, C306 )</f>
        <v>-0.23885304659498208</v>
      </c>
      <c r="F306" s="94">
        <f xml:space="preserve"> SUMIFS( CALCS│Outcomes!$R$243:$R$259, CALCS│Outcomes!$C$243:$C$259, $D306 )</f>
        <v>-2.0118124769287558E-2</v>
      </c>
    </row>
    <row r="307" spans="2:19" outlineLevel="1" x14ac:dyDescent="0.25">
      <c r="C307" s="81">
        <v>10</v>
      </c>
      <c r="D307" s="171" t="str">
        <f xml:space="preserve"> INDEX( CALCS│Outcomes!$C$243:$C$259, MATCH( E307, CALCS│Outcomes!$O$243:$O$259, 0 ) )</f>
        <v>PRT</v>
      </c>
      <c r="E307" s="94">
        <f xml:space="preserve"> SMALL( CALCS│Outcomes!$O$243:$O$259, C307 )</f>
        <v>-0.22739726027397261</v>
      </c>
      <c r="F307" s="94">
        <f xml:space="preserve"> SUMIFS( CALCS│Outcomes!$R$243:$R$259, CALCS│Outcomes!$C$243:$C$259, $D307 )</f>
        <v>-9.6153846153846159E-2</v>
      </c>
    </row>
    <row r="308" spans="2:19" outlineLevel="1" x14ac:dyDescent="0.25">
      <c r="C308" s="81">
        <v>11</v>
      </c>
      <c r="D308" s="171" t="str">
        <f xml:space="preserve"> INDEX( CALCS│Outcomes!$C$243:$C$259, MATCH( E308, CALCS│Outcomes!$O$243:$O$259, 0 ) )</f>
        <v>SRN</v>
      </c>
      <c r="E308" s="94">
        <f xml:space="preserve"> SMALL( CALCS│Outcomes!$O$243:$O$259, C308 )</f>
        <v>-0.18418259023354563</v>
      </c>
      <c r="F308" s="94">
        <f xml:space="preserve"> SUMIFS( CALCS│Outcomes!$R$243:$R$259, CALCS│Outcomes!$C$243:$C$259, $D308 )</f>
        <v>-3.0895334174022699E-2</v>
      </c>
    </row>
    <row r="309" spans="2:19" outlineLevel="1" x14ac:dyDescent="0.25">
      <c r="C309" s="81">
        <v>12</v>
      </c>
      <c r="D309" s="171" t="str">
        <f xml:space="preserve"> INDEX( CALCS│Outcomes!$C$243:$C$259, MATCH( E309, CALCS│Outcomes!$O$243:$O$259, 0 ) )</f>
        <v>AFW</v>
      </c>
      <c r="E309" s="94">
        <f xml:space="preserve"> SMALL( CALCS│Outcomes!$O$243:$O$259, C309 )</f>
        <v>-0.17801608579088471</v>
      </c>
      <c r="F309" s="94">
        <f xml:space="preserve"> SUMIFS( CALCS│Outcomes!$R$243:$R$259, CALCS│Outcomes!$C$243:$C$259, $D309 )</f>
        <v>-8.7293889427740058E-3</v>
      </c>
    </row>
    <row r="310" spans="2:19" outlineLevel="1" x14ac:dyDescent="0.25">
      <c r="C310" s="81">
        <v>13</v>
      </c>
      <c r="D310" s="171" t="str">
        <f xml:space="preserve"> INDEX( CALCS│Outcomes!$C$243:$C$259, MATCH( E310, CALCS│Outcomes!$O$243:$O$259, 0 ) )</f>
        <v>SVE</v>
      </c>
      <c r="E310" s="94">
        <f xml:space="preserve"> SMALL( CALCS│Outcomes!$O$243:$O$259, C310 )</f>
        <v>-0.1587654131883281</v>
      </c>
      <c r="F310" s="94">
        <f xml:space="preserve"> SUMIFS( CALCS│Outcomes!$R$243:$R$259, CALCS│Outcomes!$C$243:$C$259, $D310 )</f>
        <v>-0.13756281407035176</v>
      </c>
    </row>
    <row r="311" spans="2:19" outlineLevel="1" x14ac:dyDescent="0.25">
      <c r="C311" s="81">
        <v>14</v>
      </c>
      <c r="D311" s="171" t="str">
        <f xml:space="preserve"> INDEX( CALCS│Outcomes!$C$243:$C$259, MATCH( E311, CALCS│Outcomes!$O$243:$O$259, 0 ) )</f>
        <v>UU</v>
      </c>
      <c r="E311" s="94">
        <f xml:space="preserve"> SMALL( CALCS│Outcomes!$O$243:$O$259, C311 )</f>
        <v>-0.11372299872935197</v>
      </c>
      <c r="F311" s="94">
        <f xml:space="preserve"> SUMIFS( CALCS│Outcomes!$R$243:$R$259, CALCS│Outcomes!$C$243:$C$259, $D311 )</f>
        <v>-6.1932620536614885E-2</v>
      </c>
    </row>
    <row r="312" spans="2:19" outlineLevel="1" x14ac:dyDescent="0.25">
      <c r="C312" s="81">
        <v>15</v>
      </c>
      <c r="D312" s="171" t="str">
        <f xml:space="preserve"> INDEX( CALCS│Outcomes!$C$243:$C$259, MATCH( E312, CALCS│Outcomes!$O$243:$O$259, 0 ) )</f>
        <v>SES</v>
      </c>
      <c r="E312" s="94">
        <f xml:space="preserve"> SMALL( CALCS│Outcomes!$O$243:$O$259, C312 )</f>
        <v>-0.11139896373056994</v>
      </c>
      <c r="F312" s="94">
        <f xml:space="preserve"> SUMIFS( CALCS│Outcomes!$R$243:$R$259, CALCS│Outcomes!$C$243:$C$259, $D312 )</f>
        <v>-0.14888337468982629</v>
      </c>
    </row>
    <row r="313" spans="2:19" outlineLevel="1" x14ac:dyDescent="0.25">
      <c r="C313" s="81">
        <v>16</v>
      </c>
      <c r="D313" s="171" t="str">
        <f xml:space="preserve"> INDEX( CALCS│Outcomes!$C$243:$C$259, MATCH( E313, CALCS│Outcomes!$O$243:$O$259, 0 ) )</f>
        <v>WSH</v>
      </c>
      <c r="E313" s="94">
        <f xml:space="preserve"> SMALL( CALCS│Outcomes!$O$243:$O$259, C313 )</f>
        <v>-5.9312467932272961E-2</v>
      </c>
      <c r="F313" s="94">
        <f xml:space="preserve"> SUMIFS( CALCS│Outcomes!$R$243:$R$259, CALCS│Outcomes!$C$243:$C$259, $D313 )</f>
        <v>-0.13306222810667676</v>
      </c>
    </row>
    <row r="314" spans="2:19" outlineLevel="1" x14ac:dyDescent="0.25">
      <c r="C314" s="81">
        <v>17</v>
      </c>
      <c r="D314" s="171" t="str">
        <f xml:space="preserve"> INDEX( CALCS│Outcomes!$C$243:$C$259, MATCH( E314, CALCS│Outcomes!$O$243:$O$259, 0 ) )</f>
        <v>TMS</v>
      </c>
      <c r="E314" s="94">
        <f xml:space="preserve"> SMALL( CALCS│Outcomes!$O$243:$O$259, C314 )</f>
        <v>4.6496180670873466E-2</v>
      </c>
      <c r="F314" s="94">
        <f xml:space="preserve"> SUMIFS( CALCS│Outcomes!$R$243:$R$259, CALCS│Outcomes!$C$243:$C$259, $D314 )</f>
        <v>3.2268632268632268E-2</v>
      </c>
    </row>
    <row r="315" spans="2:19" outlineLevel="1" x14ac:dyDescent="0.25">
      <c r="D315" s="76" t="s">
        <v>424</v>
      </c>
      <c r="E315" s="302">
        <f>CALCS│Outcomes!O261</f>
        <v>-0.25521067482902099</v>
      </c>
      <c r="F315" s="302">
        <f>CALCS│Outcomes!R261</f>
        <v>-0.10060757271236168</v>
      </c>
    </row>
    <row r="317" spans="2:19" ht="13.5" x14ac:dyDescent="0.35">
      <c r="B317" s="9" t="s">
        <v>166</v>
      </c>
      <c r="C317" s="9"/>
      <c r="D317" s="10"/>
      <c r="E317" s="10"/>
      <c r="F317" s="10"/>
      <c r="G317" s="10"/>
      <c r="H317" s="10"/>
      <c r="I317" s="10"/>
      <c r="J317" s="10"/>
      <c r="K317" s="10"/>
      <c r="L317" s="9" t="s">
        <v>659</v>
      </c>
      <c r="M317" s="10"/>
      <c r="N317" s="10"/>
      <c r="O317" s="10"/>
      <c r="P317" s="10"/>
      <c r="Q317" s="10"/>
      <c r="R317" s="10"/>
      <c r="S317" s="10"/>
    </row>
    <row r="318" spans="2:19" outlineLevel="1" x14ac:dyDescent="0.25"/>
    <row r="319" spans="2:19" ht="13.5" outlineLevel="1" x14ac:dyDescent="0.35">
      <c r="B319" s="31" t="s">
        <v>657</v>
      </c>
      <c r="C319" s="31"/>
      <c r="D319" s="31"/>
      <c r="E319" s="31"/>
      <c r="F319" s="31"/>
      <c r="G319" s="31"/>
      <c r="H319" s="31"/>
      <c r="I319" s="31"/>
      <c r="J319" s="31"/>
      <c r="K319" s="31"/>
      <c r="L319" s="31"/>
      <c r="M319" s="31"/>
      <c r="N319" s="31"/>
      <c r="O319" s="31"/>
      <c r="P319" s="31"/>
      <c r="Q319" s="31"/>
      <c r="R319" s="31"/>
      <c r="S319" s="31"/>
    </row>
    <row r="320" spans="2:19" outlineLevel="1" x14ac:dyDescent="0.25"/>
    <row r="321" spans="3:9" outlineLevel="1" x14ac:dyDescent="0.25"/>
    <row r="322" spans="3:9" outlineLevel="1" x14ac:dyDescent="0.25">
      <c r="C322" s="288" t="s">
        <v>223</v>
      </c>
      <c r="D322" s="288" t="s">
        <v>174</v>
      </c>
      <c r="E322" s="288" t="s">
        <v>175</v>
      </c>
      <c r="F322" s="288" t="s">
        <v>176</v>
      </c>
      <c r="G322" s="288" t="s">
        <v>177</v>
      </c>
      <c r="H322" s="288" t="s">
        <v>178</v>
      </c>
      <c r="I322" s="293" t="s">
        <v>151</v>
      </c>
    </row>
    <row r="323" spans="3:9" outlineLevel="1" x14ac:dyDescent="0.25">
      <c r="C323" s="76" t="s">
        <v>80</v>
      </c>
      <c r="D323" s="304">
        <f>CALCS│Outcomes!G268</f>
        <v>475</v>
      </c>
      <c r="E323" s="304">
        <f>CALCS│Outcomes!H268</f>
        <v>411</v>
      </c>
      <c r="F323" s="304">
        <f>CALCS│Outcomes!I268</f>
        <v>430</v>
      </c>
      <c r="G323" s="304">
        <f>CALCS│Outcomes!J268</f>
        <v>396</v>
      </c>
      <c r="H323" s="304">
        <f>CALCS│Outcomes!K268</f>
        <v>342</v>
      </c>
      <c r="I323" s="304">
        <f>CALCS│Outcomes!L268</f>
        <v>296</v>
      </c>
    </row>
    <row r="324" spans="3:9" outlineLevel="1" x14ac:dyDescent="0.25">
      <c r="C324" s="76" t="s">
        <v>82</v>
      </c>
      <c r="D324" s="304">
        <f>CALCS│Outcomes!G269</f>
        <v>265</v>
      </c>
      <c r="E324" s="304">
        <f>CALCS│Outcomes!H269</f>
        <v>223</v>
      </c>
      <c r="F324" s="304">
        <f>CALCS│Outcomes!I269</f>
        <v>242</v>
      </c>
      <c r="G324" s="304">
        <f>CALCS│Outcomes!J269</f>
        <v>221</v>
      </c>
      <c r="H324" s="304">
        <f>CALCS│Outcomes!K269</f>
        <v>221</v>
      </c>
      <c r="I324" s="304">
        <f>CALCS│Outcomes!L269</f>
        <v>216</v>
      </c>
    </row>
    <row r="325" spans="3:9" outlineLevel="1" x14ac:dyDescent="0.25">
      <c r="C325" s="76" t="s">
        <v>87</v>
      </c>
      <c r="D325" s="304">
        <f>CALCS│Outcomes!G271</f>
        <v>463</v>
      </c>
      <c r="E325" s="304">
        <f>CALCS│Outcomes!H271</f>
        <v>389</v>
      </c>
      <c r="F325" s="304">
        <f>CALCS│Outcomes!I271</f>
        <v>353</v>
      </c>
      <c r="G325" s="304">
        <f>CALCS│Outcomes!J271</f>
        <v>310</v>
      </c>
      <c r="H325" s="304">
        <f>CALCS│Outcomes!K271</f>
        <v>402</v>
      </c>
      <c r="I325" s="304">
        <f>CALCS│Outcomes!L271</f>
        <v>384</v>
      </c>
    </row>
    <row r="326" spans="3:9" outlineLevel="1" x14ac:dyDescent="0.25">
      <c r="C326" s="76" t="s">
        <v>658</v>
      </c>
      <c r="D326" s="305">
        <f>CALCS│Outcomes!G272+CALCS│Outcomes!G270</f>
        <v>1168</v>
      </c>
      <c r="E326" s="305">
        <f>CALCS│Outcomes!H272+CALCS│Outcomes!H270</f>
        <v>809</v>
      </c>
      <c r="F326" s="305">
        <f>CALCS│Outcomes!I272+CALCS│Outcomes!I270</f>
        <v>901</v>
      </c>
      <c r="G326" s="305">
        <f>CALCS│Outcomes!J272+CALCS│Outcomes!J270</f>
        <v>662</v>
      </c>
      <c r="H326" s="305">
        <f>CALCS│Outcomes!K272+CALCS│Outcomes!K270</f>
        <v>729</v>
      </c>
      <c r="I326" s="305">
        <f>CALCS│Outcomes!L272+CALCS│Outcomes!L270</f>
        <v>936</v>
      </c>
    </row>
    <row r="327" spans="3:9" outlineLevel="1" x14ac:dyDescent="0.25">
      <c r="C327" s="76" t="s">
        <v>91</v>
      </c>
      <c r="D327" s="304">
        <f>CALCS│Outcomes!G273</f>
        <v>182</v>
      </c>
      <c r="E327" s="304">
        <f>CALCS│Outcomes!H273</f>
        <v>189</v>
      </c>
      <c r="F327" s="304">
        <f>CALCS│Outcomes!I273</f>
        <v>165</v>
      </c>
      <c r="G327" s="304">
        <f>CALCS│Outcomes!J273</f>
        <v>141</v>
      </c>
      <c r="H327" s="304">
        <f>CALCS│Outcomes!K273</f>
        <v>93</v>
      </c>
      <c r="I327" s="304">
        <f>CALCS│Outcomes!L273</f>
        <v>160</v>
      </c>
    </row>
    <row r="328" spans="3:9" outlineLevel="1" x14ac:dyDescent="0.25">
      <c r="C328" s="76" t="s">
        <v>94</v>
      </c>
      <c r="D328" s="304">
        <f>CALCS│Outcomes!G274</f>
        <v>487</v>
      </c>
      <c r="E328" s="304">
        <f>CALCS│Outcomes!H274</f>
        <v>492</v>
      </c>
      <c r="F328" s="304">
        <f>CALCS│Outcomes!I274</f>
        <v>448</v>
      </c>
      <c r="G328" s="304">
        <f>CALCS│Outcomes!J274</f>
        <v>401</v>
      </c>
      <c r="H328" s="304">
        <f>CALCS│Outcomes!K274</f>
        <v>389</v>
      </c>
      <c r="I328" s="304">
        <f>CALCS│Outcomes!L274</f>
        <v>453</v>
      </c>
    </row>
    <row r="329" spans="3:9" outlineLevel="1" x14ac:dyDescent="0.25">
      <c r="C329" s="76" t="s">
        <v>96</v>
      </c>
      <c r="D329" s="304">
        <f>CALCS│Outcomes!G275</f>
        <v>1655</v>
      </c>
      <c r="E329" s="304">
        <f>CALCS│Outcomes!H275</f>
        <v>1403</v>
      </c>
      <c r="F329" s="304">
        <f>CALCS│Outcomes!I275</f>
        <v>1214</v>
      </c>
      <c r="G329" s="304">
        <f>CALCS│Outcomes!J275</f>
        <v>1062</v>
      </c>
      <c r="H329" s="304">
        <f>CALCS│Outcomes!K275</f>
        <v>1032</v>
      </c>
      <c r="I329" s="304">
        <f>CALCS│Outcomes!L275</f>
        <v>1058</v>
      </c>
    </row>
    <row r="330" spans="3:9" outlineLevel="1" x14ac:dyDescent="0.25">
      <c r="C330" s="76" t="s">
        <v>98</v>
      </c>
      <c r="D330" s="304">
        <f>CALCS│Outcomes!G276</f>
        <v>808</v>
      </c>
      <c r="E330" s="304">
        <f>CALCS│Outcomes!H276</f>
        <v>986</v>
      </c>
      <c r="F330" s="304">
        <f>CALCS│Outcomes!I276</f>
        <v>941</v>
      </c>
      <c r="G330" s="304">
        <f>CALCS│Outcomes!J276</f>
        <v>650</v>
      </c>
      <c r="H330" s="304">
        <f>CALCS│Outcomes!K276</f>
        <v>566</v>
      </c>
      <c r="I330" s="304">
        <f>CALCS│Outcomes!L276</f>
        <v>774</v>
      </c>
    </row>
    <row r="331" spans="3:9" outlineLevel="1" x14ac:dyDescent="0.25">
      <c r="C331" s="76" t="s">
        <v>100</v>
      </c>
      <c r="D331" s="304">
        <f>CALCS│Outcomes!G277</f>
        <v>140</v>
      </c>
      <c r="E331" s="304">
        <f>CALCS│Outcomes!H277</f>
        <v>167</v>
      </c>
      <c r="F331" s="304">
        <f>CALCS│Outcomes!I277</f>
        <v>148</v>
      </c>
      <c r="G331" s="304">
        <f>CALCS│Outcomes!J277</f>
        <v>151</v>
      </c>
      <c r="H331" s="304">
        <f>CALCS│Outcomes!K277</f>
        <v>179</v>
      </c>
      <c r="I331" s="304">
        <f>CALCS│Outcomes!L277</f>
        <v>146</v>
      </c>
    </row>
    <row r="332" spans="3:9" outlineLevel="1" x14ac:dyDescent="0.25">
      <c r="C332" s="76" t="s">
        <v>102</v>
      </c>
      <c r="D332" s="304">
        <f>CALCS│Outcomes!G278</f>
        <v>1947</v>
      </c>
      <c r="E332" s="304">
        <f>CALCS│Outcomes!H278</f>
        <v>1842</v>
      </c>
      <c r="F332" s="304">
        <f>CALCS│Outcomes!I278</f>
        <v>1769</v>
      </c>
      <c r="G332" s="304">
        <f>CALCS│Outcomes!J278</f>
        <v>1682</v>
      </c>
      <c r="H332" s="304">
        <f>CALCS│Outcomes!K278</f>
        <v>1692</v>
      </c>
      <c r="I332" s="304">
        <f>CALCS│Outcomes!L278</f>
        <v>1602</v>
      </c>
    </row>
    <row r="333" spans="3:9" outlineLevel="1" x14ac:dyDescent="0.25"/>
    <row r="334" spans="3:9" outlineLevel="1" x14ac:dyDescent="0.25"/>
    <row r="335" spans="3:9" outlineLevel="1" x14ac:dyDescent="0.25"/>
    <row r="336" spans="3:9" outlineLevel="1" x14ac:dyDescent="0.25"/>
    <row r="337" spans="2:19" outlineLevel="1" x14ac:dyDescent="0.25"/>
    <row r="338" spans="2:19" outlineLevel="1" x14ac:dyDescent="0.25"/>
    <row r="339" spans="2:19" ht="13.5" outlineLevel="1" x14ac:dyDescent="0.35">
      <c r="B339" s="303" t="str">
        <f xml:space="preserve"> "Net change in sewer flooding incidents from 2014-15 to " &amp; Year</f>
        <v>Net change in sewer flooding incidents from 2014-15 to 2019-20</v>
      </c>
      <c r="C339" s="31"/>
      <c r="D339" s="31"/>
      <c r="E339" s="31"/>
      <c r="F339" s="31"/>
      <c r="G339" s="31"/>
      <c r="H339" s="31"/>
      <c r="I339" s="31"/>
      <c r="J339" s="31"/>
      <c r="K339" s="31"/>
      <c r="L339" s="31"/>
      <c r="M339" s="31"/>
      <c r="N339" s="31"/>
      <c r="O339" s="31"/>
      <c r="P339" s="31"/>
      <c r="Q339" s="31"/>
      <c r="R339" s="31"/>
      <c r="S339" s="31"/>
    </row>
    <row r="340" spans="2:19" outlineLevel="1" x14ac:dyDescent="0.25"/>
    <row r="341" spans="2:19" ht="37.5" outlineLevel="1" x14ac:dyDescent="0.25">
      <c r="C341" s="288" t="s">
        <v>640</v>
      </c>
      <c r="D341" s="288" t="s">
        <v>223</v>
      </c>
      <c r="E341" s="293" t="s">
        <v>669</v>
      </c>
      <c r="F341" s="293" t="str">
        <f xml:space="preserve"> "% change since " &amp; Last_year</f>
        <v>% change since 2018-19</v>
      </c>
    </row>
    <row r="342" spans="2:19" outlineLevel="1" x14ac:dyDescent="0.25">
      <c r="C342" s="81">
        <v>1</v>
      </c>
      <c r="D342" s="171" t="str">
        <f xml:space="preserve"> INDEX( CALCS│Outcomes!$C$268:$C$278, MATCH( E342, CALCS│Outcomes!$O$268:$O$278, 0 ) )</f>
        <v>ANH</v>
      </c>
      <c r="E342" s="94">
        <f xml:space="preserve"> SMALL( CALCS│Outcomes!$O$268:$O$278, C342 )</f>
        <v>-0.37684210526315787</v>
      </c>
      <c r="F342" s="94">
        <f xml:space="preserve"> SUMIFS( CALCS│Outcomes!$R$268:$R$278, CALCS│Outcomes!$C$268:$C$278, $D342 )</f>
        <v>-0.13450292397660818</v>
      </c>
    </row>
    <row r="343" spans="2:19" outlineLevel="1" x14ac:dyDescent="0.25">
      <c r="C343" s="81">
        <v>2</v>
      </c>
      <c r="D343" s="171" t="str">
        <f xml:space="preserve"> INDEX( CALCS│Outcomes!$C$268:$C$278, MATCH( E343, CALCS│Outcomes!$O$268:$O$278, 0 ) )</f>
        <v>TMS</v>
      </c>
      <c r="E343" s="94">
        <f xml:space="preserve"> SMALL( CALCS│Outcomes!$O$268:$O$278, C343 )</f>
        <v>-0.36072507552870092</v>
      </c>
      <c r="F343" s="94">
        <f xml:space="preserve"> SUMIFS( CALCS│Outcomes!$R$268:$R$278, CALCS│Outcomes!$C$268:$C$278, $D343 )</f>
        <v>2.5193798449612403E-2</v>
      </c>
    </row>
    <row r="344" spans="2:19" outlineLevel="1" x14ac:dyDescent="0.25">
      <c r="C344" s="81">
        <v>3</v>
      </c>
      <c r="D344" s="171" t="str">
        <f xml:space="preserve"> INDEX( CALCS│Outcomes!$C$268:$C$278, MATCH( E344, CALCS│Outcomes!$O$268:$O$278, 0 ) )</f>
        <v>SVE</v>
      </c>
      <c r="E344" s="94">
        <f xml:space="preserve"> SMALL( CALCS│Outcomes!$O$268:$O$278, C344 )</f>
        <v>-0.2071917808219178</v>
      </c>
      <c r="F344" s="94">
        <f xml:space="preserve"> SUMIFS( CALCS│Outcomes!$R$268:$R$278, CALCS│Outcomes!$C$268:$C$278, $D344 )</f>
        <v>0.27724137931034482</v>
      </c>
    </row>
    <row r="345" spans="2:19" outlineLevel="1" x14ac:dyDescent="0.25">
      <c r="C345" s="81">
        <v>4</v>
      </c>
      <c r="D345" s="171" t="str">
        <f xml:space="preserve"> INDEX( CALCS│Outcomes!$C$268:$C$278, MATCH( E345, CALCS│Outcomes!$O$268:$O$278, 0 ) )</f>
        <v>WSH</v>
      </c>
      <c r="E345" s="94">
        <f xml:space="preserve"> SMALL( CALCS│Outcomes!$O$268:$O$278, C345 )</f>
        <v>-0.18490566037735848</v>
      </c>
      <c r="F345" s="94">
        <f xml:space="preserve"> SUMIFS( CALCS│Outcomes!$R$268:$R$278, CALCS│Outcomes!$C$268:$C$278, $D345 )</f>
        <v>-2.2624434389140271E-2</v>
      </c>
    </row>
    <row r="346" spans="2:19" outlineLevel="1" x14ac:dyDescent="0.25">
      <c r="C346" s="81">
        <v>5</v>
      </c>
      <c r="D346" s="171" t="str">
        <f xml:space="preserve"> INDEX( CALCS│Outcomes!$C$268:$C$278, MATCH( E346, CALCS│Outcomes!$O$268:$O$278, 0 ) )</f>
        <v>YKY</v>
      </c>
      <c r="E346" s="94">
        <f xml:space="preserve"> SMALL( CALCS│Outcomes!$O$268:$O$278, C346 )</f>
        <v>-0.17719568567026195</v>
      </c>
      <c r="F346" s="94">
        <f xml:space="preserve"> SUMIFS( CALCS│Outcomes!$R$268:$R$278, CALCS│Outcomes!$C$268:$C$278, $D346 )</f>
        <v>-5.3191489361702128E-2</v>
      </c>
    </row>
    <row r="347" spans="2:19" outlineLevel="1" x14ac:dyDescent="0.25">
      <c r="C347" s="81">
        <v>6</v>
      </c>
      <c r="D347" s="171" t="str">
        <f xml:space="preserve"> INDEX( CALCS│Outcomes!$C$268:$C$278, MATCH( E347, CALCS│Outcomes!$O$268:$O$278, 0 ) )</f>
        <v>NES</v>
      </c>
      <c r="E347" s="94">
        <f xml:space="preserve"> SMALL( CALCS│Outcomes!$O$268:$O$278, C347 )</f>
        <v>-0.17062634989200864</v>
      </c>
      <c r="F347" s="94">
        <f xml:space="preserve"> SUMIFS( CALCS│Outcomes!$R$268:$R$278, CALCS│Outcomes!$C$268:$C$278, $D347 )</f>
        <v>-4.4776119402985072E-2</v>
      </c>
    </row>
    <row r="348" spans="2:19" outlineLevel="1" x14ac:dyDescent="0.25">
      <c r="C348" s="81">
        <v>7</v>
      </c>
      <c r="D348" s="171" t="str">
        <f xml:space="preserve"> INDEX( CALCS│Outcomes!$C$268:$C$278, MATCH( E348, CALCS│Outcomes!$O$268:$O$278, 0 ) )</f>
        <v>SWB</v>
      </c>
      <c r="E348" s="94">
        <f xml:space="preserve"> SMALL( CALCS│Outcomes!$O$268:$O$278, C348 )</f>
        <v>-0.12087912087912088</v>
      </c>
      <c r="F348" s="94">
        <f xml:space="preserve"> SUMIFS( CALCS│Outcomes!$R$268:$R$278, CALCS│Outcomes!$C$268:$C$278, $D348 )</f>
        <v>0.72043010752688175</v>
      </c>
    </row>
    <row r="349" spans="2:19" outlineLevel="1" x14ac:dyDescent="0.25">
      <c r="C349" s="81">
        <v>8</v>
      </c>
      <c r="D349" s="171" t="str">
        <f xml:space="preserve"> INDEX( CALCS│Outcomes!$C$268:$C$278, MATCH( E349, CALCS│Outcomes!$O$268:$O$278, 0 ) )</f>
        <v>SRN</v>
      </c>
      <c r="E349" s="94">
        <f xml:space="preserve"> SMALL( CALCS│Outcomes!$O$268:$O$278, C349 )</f>
        <v>-6.9815195071868577E-2</v>
      </c>
      <c r="F349" s="94">
        <f xml:space="preserve"> SUMIFS( CALCS│Outcomes!$R$268:$R$278, CALCS│Outcomes!$C$268:$C$278, $D349 )</f>
        <v>0.16452442159383032</v>
      </c>
    </row>
    <row r="350" spans="2:19" outlineLevel="1" x14ac:dyDescent="0.25">
      <c r="C350" s="81">
        <v>9</v>
      </c>
      <c r="D350" s="171" t="str">
        <f xml:space="preserve"> INDEX( CALCS│Outcomes!$C$268:$C$278, MATCH( E350, CALCS│Outcomes!$O$268:$O$278, 0 ) )</f>
        <v>UU</v>
      </c>
      <c r="E350" s="94">
        <f xml:space="preserve"> SMALL( CALCS│Outcomes!$O$268:$O$278, C350 )</f>
        <v>-4.2079207920792082E-2</v>
      </c>
      <c r="F350" s="94">
        <f xml:space="preserve"> SUMIFS( CALCS│Outcomes!$R$268:$R$278, CALCS│Outcomes!$C$268:$C$278, $D350 )</f>
        <v>0.36749116607773852</v>
      </c>
    </row>
    <row r="351" spans="2:19" outlineLevel="1" x14ac:dyDescent="0.25">
      <c r="C351" s="81">
        <v>10</v>
      </c>
      <c r="D351" s="171" t="str">
        <f xml:space="preserve"> INDEX( CALCS│Outcomes!$C$268:$C$278, MATCH( E351, CALCS│Outcomes!$O$268:$O$278, 0 ) )</f>
        <v>WSX</v>
      </c>
      <c r="E351" s="94">
        <f xml:space="preserve"> SMALL( CALCS│Outcomes!$O$268:$O$278, C351 )</f>
        <v>4.2857142857142858E-2</v>
      </c>
      <c r="F351" s="94">
        <f xml:space="preserve"> SUMIFS( CALCS│Outcomes!$R$268:$R$278, CALCS│Outcomes!$C$268:$C$278, $D351 )</f>
        <v>-0.18435754189944134</v>
      </c>
    </row>
    <row r="352" spans="2:19" outlineLevel="1" x14ac:dyDescent="0.25">
      <c r="D352" s="76" t="s">
        <v>424</v>
      </c>
      <c r="E352" s="302">
        <f>CALCS│Outcomes!O280</f>
        <v>-0.20619235836627142</v>
      </c>
      <c r="F352" s="302">
        <f>CALCS│Outcomes!R280</f>
        <v>6.7316209034543842E-2</v>
      </c>
    </row>
    <row r="353" spans="2:19" outlineLevel="1" x14ac:dyDescent="0.25"/>
    <row r="354" spans="2:19" outlineLevel="1" x14ac:dyDescent="0.25"/>
    <row r="355" spans="2:19" outlineLevel="1" x14ac:dyDescent="0.25"/>
    <row r="356" spans="2:19" outlineLevel="1" x14ac:dyDescent="0.25"/>
    <row r="358" spans="2:19" ht="13.5" x14ac:dyDescent="0.35">
      <c r="B358" s="9" t="s">
        <v>167</v>
      </c>
      <c r="C358" s="9"/>
      <c r="D358" s="10"/>
      <c r="E358" s="10"/>
      <c r="F358" s="10"/>
      <c r="G358" s="10"/>
      <c r="H358" s="10"/>
      <c r="I358" s="10"/>
      <c r="J358" s="10"/>
      <c r="K358" s="10"/>
      <c r="L358" s="9" t="s">
        <v>789</v>
      </c>
      <c r="M358" s="10"/>
      <c r="N358" s="10"/>
      <c r="O358" s="10"/>
      <c r="P358" s="10"/>
      <c r="Q358" s="10"/>
      <c r="R358" s="10"/>
      <c r="S358" s="10"/>
    </row>
    <row r="359" spans="2:19" outlineLevel="1" x14ac:dyDescent="0.25"/>
    <row r="360" spans="2:19" ht="13.5" outlineLevel="1" x14ac:dyDescent="0.35">
      <c r="B360" s="31" t="s">
        <v>660</v>
      </c>
      <c r="C360" s="31"/>
      <c r="D360" s="31"/>
      <c r="E360" s="31"/>
      <c r="F360" s="31"/>
      <c r="G360" s="31"/>
      <c r="H360" s="31"/>
      <c r="I360" s="31"/>
      <c r="J360" s="31"/>
      <c r="K360" s="31"/>
      <c r="L360" s="31"/>
      <c r="M360" s="31"/>
      <c r="N360" s="31"/>
      <c r="O360" s="31"/>
      <c r="P360" s="31"/>
      <c r="Q360" s="31"/>
      <c r="R360" s="31"/>
      <c r="S360" s="31"/>
    </row>
    <row r="361" spans="2:19" outlineLevel="1" x14ac:dyDescent="0.25"/>
    <row r="362" spans="2:19" outlineLevel="1" x14ac:dyDescent="0.25">
      <c r="C362" s="288" t="s">
        <v>223</v>
      </c>
      <c r="D362" s="288">
        <v>2012</v>
      </c>
      <c r="E362" s="288">
        <v>2013</v>
      </c>
      <c r="F362" s="293">
        <v>2014</v>
      </c>
      <c r="G362" s="293">
        <v>2015</v>
      </c>
      <c r="H362" s="293">
        <v>2016</v>
      </c>
      <c r="I362" s="293">
        <v>2017</v>
      </c>
      <c r="J362" s="293">
        <v>2018</v>
      </c>
      <c r="K362" s="293">
        <v>2019</v>
      </c>
    </row>
    <row r="363" spans="2:19" outlineLevel="1" x14ac:dyDescent="0.25">
      <c r="C363" s="76" t="s">
        <v>80</v>
      </c>
      <c r="D363" s="304">
        <f>CALCS│Outcomes!E335</f>
        <v>446</v>
      </c>
      <c r="E363" s="304">
        <f>CALCS│Outcomes!F335</f>
        <v>392</v>
      </c>
      <c r="F363" s="304">
        <f>CALCS│Outcomes!G335</f>
        <v>394</v>
      </c>
      <c r="G363" s="304">
        <f>CALCS│Outcomes!H335</f>
        <v>152</v>
      </c>
      <c r="H363" s="304">
        <f>CALCS│Outcomes!I335</f>
        <v>220</v>
      </c>
      <c r="I363" s="304">
        <f>CALCS│Outcomes!J335</f>
        <v>224</v>
      </c>
      <c r="J363" s="304">
        <f>CALCS│Outcomes!K335</f>
        <v>189</v>
      </c>
      <c r="K363" s="304">
        <f>CALCS│Outcomes!L335</f>
        <v>265</v>
      </c>
    </row>
    <row r="364" spans="2:19" outlineLevel="1" x14ac:dyDescent="0.25">
      <c r="C364" s="76" t="s">
        <v>82</v>
      </c>
      <c r="D364" s="304">
        <f>CALCS│Outcomes!E336</f>
        <v>199</v>
      </c>
      <c r="E364" s="304">
        <f>CALCS│Outcomes!F336</f>
        <v>122</v>
      </c>
      <c r="F364" s="304">
        <f>CALCS│Outcomes!G336</f>
        <v>108</v>
      </c>
      <c r="G364" s="304">
        <f>CALCS│Outcomes!H336</f>
        <v>109</v>
      </c>
      <c r="H364" s="304">
        <f>CALCS│Outcomes!I336</f>
        <v>107</v>
      </c>
      <c r="I364" s="304">
        <f>CALCS│Outcomes!J336</f>
        <v>103</v>
      </c>
      <c r="J364" s="304">
        <f>CALCS│Outcomes!K336</f>
        <v>101</v>
      </c>
      <c r="K364" s="304">
        <f>CALCS│Outcomes!L336</f>
        <v>94</v>
      </c>
    </row>
    <row r="365" spans="2:19" outlineLevel="1" x14ac:dyDescent="0.25">
      <c r="C365" s="76" t="s">
        <v>87</v>
      </c>
      <c r="D365" s="304">
        <f>CALCS│Outcomes!E338</f>
        <v>192</v>
      </c>
      <c r="E365" s="304">
        <f>CALCS│Outcomes!F338</f>
        <v>127</v>
      </c>
      <c r="F365" s="304">
        <f>CALCS│Outcomes!G338</f>
        <v>87</v>
      </c>
      <c r="G365" s="304">
        <f>CALCS│Outcomes!H338</f>
        <v>156</v>
      </c>
      <c r="H365" s="304">
        <f>CALCS│Outcomes!I338</f>
        <v>110</v>
      </c>
      <c r="I365" s="304">
        <f>CALCS│Outcomes!J338</f>
        <v>50</v>
      </c>
      <c r="J365" s="304">
        <f>CALCS│Outcomes!K338</f>
        <v>37</v>
      </c>
      <c r="K365" s="304">
        <f>CALCS│Outcomes!L338</f>
        <v>46</v>
      </c>
    </row>
    <row r="366" spans="2:19" outlineLevel="1" x14ac:dyDescent="0.25">
      <c r="C366" s="76" t="s">
        <v>658</v>
      </c>
      <c r="D366" s="305">
        <f>CALCS│Outcomes!E337 + CALCS│Outcomes!E339</f>
        <v>365</v>
      </c>
      <c r="E366" s="305">
        <f>CALCS│Outcomes!F337 + CALCS│Outcomes!F339</f>
        <v>431</v>
      </c>
      <c r="F366" s="305">
        <f>CALCS│Outcomes!G337 + CALCS│Outcomes!G339</f>
        <v>354</v>
      </c>
      <c r="G366" s="305">
        <f>CALCS│Outcomes!H337 + CALCS│Outcomes!H339</f>
        <v>256</v>
      </c>
      <c r="H366" s="305">
        <f>CALCS│Outcomes!I337 + CALCS│Outcomes!I339</f>
        <v>268</v>
      </c>
      <c r="I366" s="305">
        <f>CALCS│Outcomes!J337 + CALCS│Outcomes!J339</f>
        <v>277</v>
      </c>
      <c r="J366" s="305">
        <f>CALCS│Outcomes!K337 + CALCS│Outcomes!K339</f>
        <v>283</v>
      </c>
      <c r="K366" s="305">
        <f>CALCS│Outcomes!L337 + CALCS│Outcomes!L339</f>
        <v>237</v>
      </c>
    </row>
    <row r="367" spans="2:19" outlineLevel="1" x14ac:dyDescent="0.25">
      <c r="C367" s="76" t="s">
        <v>91</v>
      </c>
      <c r="D367" s="304">
        <f>CALCS│Outcomes!E340</f>
        <v>206</v>
      </c>
      <c r="E367" s="304">
        <f>CALCS│Outcomes!F340</f>
        <v>246</v>
      </c>
      <c r="F367" s="304">
        <f>CALCS│Outcomes!G340</f>
        <v>156</v>
      </c>
      <c r="G367" s="304">
        <f>CALCS│Outcomes!H340</f>
        <v>158</v>
      </c>
      <c r="H367" s="304">
        <f>CALCS│Outcomes!I340</f>
        <v>179</v>
      </c>
      <c r="I367" s="304">
        <f>CALCS│Outcomes!J340</f>
        <v>169</v>
      </c>
      <c r="J367" s="304">
        <f>CALCS│Outcomes!K340</f>
        <v>168</v>
      </c>
      <c r="K367" s="304">
        <f>CALCS│Outcomes!L340</f>
        <v>180</v>
      </c>
    </row>
    <row r="368" spans="2:19" outlineLevel="1" x14ac:dyDescent="0.25">
      <c r="C368" s="76" t="s">
        <v>94</v>
      </c>
      <c r="D368" s="304">
        <f>CALCS│Outcomes!E341</f>
        <v>409</v>
      </c>
      <c r="E368" s="304">
        <f>CALCS│Outcomes!F341</f>
        <v>320</v>
      </c>
      <c r="F368" s="304">
        <f>CALCS│Outcomes!G341</f>
        <v>292</v>
      </c>
      <c r="G368" s="304">
        <f>CALCS│Outcomes!H341</f>
        <v>163</v>
      </c>
      <c r="H368" s="304">
        <f>CALCS│Outcomes!I341</f>
        <v>138</v>
      </c>
      <c r="I368" s="304">
        <f>CALCS│Outcomes!J341</f>
        <v>123</v>
      </c>
      <c r="J368" s="304">
        <f>CALCS│Outcomes!K341</f>
        <v>149</v>
      </c>
      <c r="K368" s="304">
        <f>CALCS│Outcomes!L341</f>
        <v>430</v>
      </c>
    </row>
    <row r="369" spans="2:19" outlineLevel="1" x14ac:dyDescent="0.25">
      <c r="C369" s="76" t="s">
        <v>96</v>
      </c>
      <c r="D369" s="304">
        <f>CALCS│Outcomes!E342</f>
        <v>468</v>
      </c>
      <c r="E369" s="304">
        <f>CALCS│Outcomes!F342</f>
        <v>612</v>
      </c>
      <c r="F369" s="304">
        <f>CALCS│Outcomes!G342</f>
        <v>517</v>
      </c>
      <c r="G369" s="304">
        <f>CALCS│Outcomes!H342</f>
        <v>263</v>
      </c>
      <c r="H369" s="304">
        <f>CALCS│Outcomes!I342</f>
        <v>357</v>
      </c>
      <c r="I369" s="304">
        <f>CALCS│Outcomes!J342</f>
        <v>302</v>
      </c>
      <c r="J369" s="304">
        <f>CALCS│Outcomes!K342</f>
        <v>297</v>
      </c>
      <c r="K369" s="304">
        <f>CALCS│Outcomes!L342</f>
        <v>325</v>
      </c>
    </row>
    <row r="370" spans="2:19" outlineLevel="1" x14ac:dyDescent="0.25">
      <c r="C370" s="76" t="s">
        <v>98</v>
      </c>
      <c r="D370" s="304">
        <f>CALCS│Outcomes!E343</f>
        <v>324</v>
      </c>
      <c r="E370" s="304">
        <f>CALCS│Outcomes!F343</f>
        <v>208</v>
      </c>
      <c r="F370" s="304">
        <f>CALCS│Outcomes!G343</f>
        <v>214</v>
      </c>
      <c r="G370" s="304">
        <f>CALCS│Outcomes!H343</f>
        <v>175</v>
      </c>
      <c r="H370" s="304">
        <f>CALCS│Outcomes!I343</f>
        <v>171</v>
      </c>
      <c r="I370" s="304">
        <f>CALCS│Outcomes!J343</f>
        <v>166</v>
      </c>
      <c r="J370" s="304">
        <f>CALCS│Outcomes!K343</f>
        <v>179</v>
      </c>
      <c r="K370" s="304">
        <f>CALCS│Outcomes!L343</f>
        <v>202</v>
      </c>
    </row>
    <row r="371" spans="2:19" outlineLevel="1" x14ac:dyDescent="0.25">
      <c r="C371" s="76" t="s">
        <v>100</v>
      </c>
      <c r="D371" s="304">
        <f>CALCS│Outcomes!E344</f>
        <v>61</v>
      </c>
      <c r="E371" s="304">
        <f>CALCS│Outcomes!F344</f>
        <v>83</v>
      </c>
      <c r="F371" s="304">
        <f>CALCS│Outcomes!G344</f>
        <v>76</v>
      </c>
      <c r="G371" s="304">
        <f>CALCS│Outcomes!H344</f>
        <v>83</v>
      </c>
      <c r="H371" s="304">
        <f>CALCS│Outcomes!I344</f>
        <v>74</v>
      </c>
      <c r="I371" s="304">
        <f>CALCS│Outcomes!J344</f>
        <v>79</v>
      </c>
      <c r="J371" s="304">
        <f>CALCS│Outcomes!K344</f>
        <v>82</v>
      </c>
      <c r="K371" s="304">
        <f>CALCS│Outcomes!L344</f>
        <v>76</v>
      </c>
    </row>
    <row r="372" spans="2:19" outlineLevel="1" x14ac:dyDescent="0.25">
      <c r="C372" s="76" t="s">
        <v>102</v>
      </c>
      <c r="D372" s="304">
        <f>CALCS│Outcomes!E345</f>
        <v>253</v>
      </c>
      <c r="E372" s="304">
        <f>CALCS│Outcomes!F345</f>
        <v>239</v>
      </c>
      <c r="F372" s="304">
        <f>CALCS│Outcomes!G345</f>
        <v>180</v>
      </c>
      <c r="G372" s="304">
        <f>CALCS│Outcomes!H345</f>
        <v>219</v>
      </c>
      <c r="H372" s="304">
        <f>CALCS│Outcomes!I345</f>
        <v>237</v>
      </c>
      <c r="I372" s="304">
        <f>CALCS│Outcomes!J345</f>
        <v>222</v>
      </c>
      <c r="J372" s="304">
        <f>CALCS│Outcomes!K345</f>
        <v>224</v>
      </c>
      <c r="K372" s="304">
        <f>CALCS│Outcomes!L345</f>
        <v>177</v>
      </c>
    </row>
    <row r="373" spans="2:19" outlineLevel="1" x14ac:dyDescent="0.25">
      <c r="I373" s="72"/>
    </row>
    <row r="374" spans="2:19" outlineLevel="1" x14ac:dyDescent="0.25"/>
    <row r="375" spans="2:19" outlineLevel="1" x14ac:dyDescent="0.25"/>
    <row r="376" spans="2:19" outlineLevel="1" x14ac:dyDescent="0.25"/>
    <row r="377" spans="2:19" outlineLevel="1" x14ac:dyDescent="0.25"/>
    <row r="378" spans="2:19" outlineLevel="1" x14ac:dyDescent="0.25"/>
    <row r="379" spans="2:19" outlineLevel="1" x14ac:dyDescent="0.25"/>
    <row r="380" spans="2:19" ht="13.5" outlineLevel="1" x14ac:dyDescent="0.35">
      <c r="B380" s="303" t="str">
        <f xml:space="preserve"> "Net change in pollution incidents from 2012-13 to " &amp; Year</f>
        <v>Net change in pollution incidents from 2012-13 to 2019-20</v>
      </c>
      <c r="C380" s="31"/>
      <c r="D380" s="31"/>
      <c r="E380" s="31"/>
      <c r="F380" s="31"/>
      <c r="G380" s="31"/>
      <c r="H380" s="31"/>
      <c r="I380" s="31"/>
      <c r="J380" s="31"/>
      <c r="K380" s="31"/>
      <c r="L380" s="31"/>
      <c r="M380" s="31"/>
      <c r="N380" s="31"/>
      <c r="O380" s="31"/>
      <c r="P380" s="31"/>
      <c r="Q380" s="31"/>
      <c r="R380" s="31"/>
      <c r="S380" s="31"/>
    </row>
    <row r="381" spans="2:19" outlineLevel="1" x14ac:dyDescent="0.25"/>
    <row r="382" spans="2:19" ht="25" outlineLevel="1" x14ac:dyDescent="0.25">
      <c r="C382" s="288" t="s">
        <v>640</v>
      </c>
      <c r="D382" s="288" t="s">
        <v>223</v>
      </c>
      <c r="E382" s="293" t="s">
        <v>672</v>
      </c>
      <c r="F382" s="293" t="s">
        <v>673</v>
      </c>
    </row>
    <row r="383" spans="2:19" outlineLevel="1" x14ac:dyDescent="0.25">
      <c r="C383" s="81">
        <v>1</v>
      </c>
      <c r="D383" s="171" t="str">
        <f xml:space="preserve"> INDEX( CALCS│Outcomes!$C$335:$C$345, MATCH( E383, CALCS│Outcomes!$O$335:$O$345, 0 ) )</f>
        <v>NES</v>
      </c>
      <c r="E383" s="94">
        <f xml:space="preserve"> SMALL( CALCS│Outcomes!$O$335:$O$345, C383 )</f>
        <v>-0.76041666666666663</v>
      </c>
      <c r="F383" s="94">
        <f xml:space="preserve"> SUMIFS( CALCS│Outcomes!$R$335:$R$345, CALCS│Outcomes!$C$335:$C$345, $D383 )</f>
        <v>0.24324324324324326</v>
      </c>
    </row>
    <row r="384" spans="2:19" outlineLevel="1" x14ac:dyDescent="0.25">
      <c r="C384" s="81">
        <v>2</v>
      </c>
      <c r="D384" s="171" t="str">
        <f xml:space="preserve"> INDEX( CALCS│Outcomes!$C$335:$C$345, MATCH( E384, CALCS│Outcomes!$O$335:$O$345, 0 ) )</f>
        <v>WSH</v>
      </c>
      <c r="E384" s="94">
        <f xml:space="preserve"> SMALL( CALCS│Outcomes!$O$335:$O$345, C384 )</f>
        <v>-0.52763819095477382</v>
      </c>
      <c r="F384" s="94">
        <f xml:space="preserve"> SUMIFS( CALCS│Outcomes!$R$335:$R$345, CALCS│Outcomes!$C$335:$C$345, $D384 )</f>
        <v>-6.9306930693069313E-2</v>
      </c>
    </row>
    <row r="385" spans="2:19" outlineLevel="1" x14ac:dyDescent="0.25">
      <c r="C385" s="81">
        <v>3</v>
      </c>
      <c r="D385" s="171" t="str">
        <f xml:space="preserve"> INDEX( CALCS│Outcomes!$C$335:$C$345, MATCH( E385, CALCS│Outcomes!$O$335:$O$345, 0 ) )</f>
        <v>ANH</v>
      </c>
      <c r="E385" s="94">
        <f xml:space="preserve"> SMALL( CALCS│Outcomes!$O$335:$O$345, C385 )</f>
        <v>-0.40582959641255606</v>
      </c>
      <c r="F385" s="94">
        <f xml:space="preserve"> SUMIFS( CALCS│Outcomes!$R$335:$R$345, CALCS│Outcomes!$C$335:$C$345, $D385 )</f>
        <v>0.40211640211640209</v>
      </c>
    </row>
    <row r="386" spans="2:19" outlineLevel="1" x14ac:dyDescent="0.25">
      <c r="C386" s="81">
        <v>4</v>
      </c>
      <c r="D386" s="171" t="str">
        <f xml:space="preserve"> INDEX( CALCS│Outcomes!$C$335:$C$345, MATCH( E386, CALCS│Outcomes!$O$335:$O$345, 0 ) )</f>
        <v>UU</v>
      </c>
      <c r="E386" s="94">
        <f xml:space="preserve"> SMALL( CALCS│Outcomes!$O$335:$O$345, C386 )</f>
        <v>-0.37654320987654322</v>
      </c>
      <c r="F386" s="94">
        <f xml:space="preserve"> SUMIFS( CALCS│Outcomes!$R$335:$R$345, CALCS│Outcomes!$C$335:$C$345, $D386 )</f>
        <v>0.12849162011173185</v>
      </c>
    </row>
    <row r="387" spans="2:19" outlineLevel="1" x14ac:dyDescent="0.25">
      <c r="C387" s="81">
        <v>5</v>
      </c>
      <c r="D387" s="171" t="str">
        <f xml:space="preserve"> INDEX( CALCS│Outcomes!$C$335:$C$345, MATCH( E387, CALCS│Outcomes!$O$335:$O$345, 0 ) )</f>
        <v>SVE</v>
      </c>
      <c r="E387" s="94">
        <f xml:space="preserve"> SMALL( CALCS│Outcomes!$O$335:$O$345, C387 )</f>
        <v>-0.35616438356164382</v>
      </c>
      <c r="F387" s="94">
        <f xml:space="preserve"> SUMIFS( CALCS│Outcomes!$R$335:$R$345, CALCS│Outcomes!$C$335:$C$345, $D387 )</f>
        <v>-0.15770609318996415</v>
      </c>
    </row>
    <row r="388" spans="2:19" outlineLevel="1" x14ac:dyDescent="0.25">
      <c r="C388" s="81">
        <v>6</v>
      </c>
      <c r="D388" s="171" t="str">
        <f xml:space="preserve"> INDEX( CALCS│Outcomes!$C$335:$C$345, MATCH( E388, CALCS│Outcomes!$O$335:$O$345, 0 ) )</f>
        <v>TMS</v>
      </c>
      <c r="E388" s="94">
        <f xml:space="preserve"> SMALL( CALCS│Outcomes!$O$335:$O$345, C388 )</f>
        <v>-0.30555555555555558</v>
      </c>
      <c r="F388" s="94">
        <f xml:space="preserve"> SUMIFS( CALCS│Outcomes!$R$335:$R$345, CALCS│Outcomes!$C$335:$C$345, $D388 )</f>
        <v>9.4276094276094277E-2</v>
      </c>
    </row>
    <row r="389" spans="2:19" outlineLevel="1" x14ac:dyDescent="0.25">
      <c r="C389" s="81">
        <v>7</v>
      </c>
      <c r="D389" s="171" t="str">
        <f xml:space="preserve"> INDEX( CALCS│Outcomes!$C$335:$C$345, MATCH( E389, CALCS│Outcomes!$O$335:$O$345, 0 ) )</f>
        <v>YKY</v>
      </c>
      <c r="E389" s="94">
        <f xml:space="preserve"> SMALL( CALCS│Outcomes!$O$335:$O$345, C389 )</f>
        <v>-0.30039525691699603</v>
      </c>
      <c r="F389" s="94">
        <f xml:space="preserve"> SUMIFS( CALCS│Outcomes!$R$335:$R$345, CALCS│Outcomes!$C$335:$C$345, $D389 )</f>
        <v>-0.20982142857142858</v>
      </c>
    </row>
    <row r="390" spans="2:19" outlineLevel="1" x14ac:dyDescent="0.25">
      <c r="C390" s="81">
        <v>8</v>
      </c>
      <c r="D390" s="171" t="str">
        <f xml:space="preserve"> INDEX( CALCS│Outcomes!$C$335:$C$345, MATCH( E390, CALCS│Outcomes!$O$335:$O$345, 0 ) )</f>
        <v>SWB</v>
      </c>
      <c r="E390" s="94">
        <f xml:space="preserve"> SMALL( CALCS│Outcomes!$O$335:$O$345, C390 )</f>
        <v>-0.12621359223300971</v>
      </c>
      <c r="F390" s="94">
        <f xml:space="preserve"> SUMIFS( CALCS│Outcomes!$R$335:$R$345, CALCS│Outcomes!$C$335:$C$345, $D390 )</f>
        <v>7.1428571428571425E-2</v>
      </c>
    </row>
    <row r="391" spans="2:19" outlineLevel="1" x14ac:dyDescent="0.25">
      <c r="C391" s="81">
        <v>9</v>
      </c>
      <c r="D391" s="171" t="str">
        <f xml:space="preserve"> INDEX( CALCS│Outcomes!$C$335:$C$345, MATCH( E391, CALCS│Outcomes!$O$335:$O$345, 0 ) )</f>
        <v>SRN</v>
      </c>
      <c r="E391" s="94">
        <f xml:space="preserve"> SMALL( CALCS│Outcomes!$O$335:$O$345, C391 )</f>
        <v>5.1344743276283619E-2</v>
      </c>
      <c r="F391" s="94">
        <f xml:space="preserve"> SUMIFS( CALCS│Outcomes!$R$335:$R$345, CALCS│Outcomes!$C$335:$C$345, $D391 )</f>
        <v>1.8859060402684564</v>
      </c>
    </row>
    <row r="392" spans="2:19" outlineLevel="1" x14ac:dyDescent="0.25">
      <c r="C392" s="81">
        <v>10</v>
      </c>
      <c r="D392" s="171" t="str">
        <f xml:space="preserve"> INDEX( CALCS│Outcomes!$C$335:$C$345, MATCH( E392, CALCS│Outcomes!$O$335:$O$345, 0 ) )</f>
        <v>WSX</v>
      </c>
      <c r="E392" s="94">
        <f xml:space="preserve"> SMALL( CALCS│Outcomes!$O$335:$O$345, C392 )</f>
        <v>0.24590163934426229</v>
      </c>
      <c r="F392" s="94">
        <f xml:space="preserve"> SUMIFS( CALCS│Outcomes!$R$335:$R$345, CALCS│Outcomes!$C$335:$C$345, $D392 )</f>
        <v>-7.3170731707317069E-2</v>
      </c>
    </row>
    <row r="393" spans="2:19" outlineLevel="1" x14ac:dyDescent="0.25">
      <c r="D393" s="76" t="s">
        <v>424</v>
      </c>
      <c r="E393" s="302">
        <f>CALCS│Outcomes!O347</f>
        <v>-0.30482381115292506</v>
      </c>
      <c r="F393" s="302">
        <f>CALCS│Outcomes!R347</f>
        <v>0.18899941486249269</v>
      </c>
    </row>
    <row r="394" spans="2:19" outlineLevel="1" x14ac:dyDescent="0.25"/>
    <row r="395" spans="2:19" outlineLevel="1" x14ac:dyDescent="0.25"/>
    <row r="396" spans="2:19" outlineLevel="1" x14ac:dyDescent="0.25"/>
    <row r="397" spans="2:19" outlineLevel="1" x14ac:dyDescent="0.25"/>
    <row r="399" spans="2:19" ht="13" x14ac:dyDescent="0.3">
      <c r="B399" s="17" t="s">
        <v>25</v>
      </c>
      <c r="C399" s="17"/>
      <c r="D399" s="17"/>
      <c r="E399" s="17"/>
      <c r="F399" s="17"/>
      <c r="G399" s="17"/>
      <c r="H399" s="17"/>
      <c r="I399" s="17"/>
      <c r="J399" s="17"/>
      <c r="K399" s="17"/>
      <c r="L399" s="17"/>
      <c r="M399" s="17"/>
      <c r="N399" s="17"/>
      <c r="O399" s="17"/>
      <c r="P399" s="17"/>
      <c r="Q399" s="17"/>
      <c r="R399" s="17"/>
      <c r="S399" s="17"/>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2:K79"/>
  <sheetViews>
    <sheetView showGridLines="0" workbookViewId="0"/>
  </sheetViews>
  <sheetFormatPr defaultColWidth="9" defaultRowHeight="12.5" x14ac:dyDescent="0.25"/>
  <cols>
    <col min="1" max="2" width="2.58203125" style="8" customWidth="1"/>
    <col min="3" max="3" width="7.5" style="8" bestFit="1" customWidth="1"/>
    <col min="4" max="4" width="15.5" style="8" bestFit="1" customWidth="1"/>
    <col min="5" max="5" width="57.08203125" style="8" customWidth="1"/>
    <col min="6" max="7" width="10.25" style="8" customWidth="1"/>
    <col min="8" max="8" width="2.58203125" style="8" customWidth="1"/>
    <col min="9" max="10" width="10.25" style="8" customWidth="1"/>
    <col min="11" max="11" width="2.58203125" style="8" customWidth="1"/>
    <col min="12" max="16384" width="9" style="8"/>
  </cols>
  <sheetData>
    <row r="2" spans="2:11" ht="13.5" x14ac:dyDescent="0.35">
      <c r="B2" s="9" t="s">
        <v>670</v>
      </c>
      <c r="C2" s="9"/>
      <c r="D2" s="9"/>
      <c r="E2" s="9"/>
      <c r="F2" s="9" t="s">
        <v>785</v>
      </c>
      <c r="G2" s="9"/>
      <c r="H2" s="9"/>
      <c r="I2" s="9"/>
      <c r="J2" s="9"/>
      <c r="K2" s="9"/>
    </row>
    <row r="4" spans="2:11" ht="40.5" x14ac:dyDescent="0.25">
      <c r="C4" s="272" t="s">
        <v>223</v>
      </c>
      <c r="D4" s="272" t="s">
        <v>223</v>
      </c>
      <c r="E4" s="272" t="s">
        <v>766</v>
      </c>
      <c r="F4" s="272" t="str">
        <f>Year</f>
        <v>2019-20</v>
      </c>
      <c r="G4" s="272" t="str">
        <f xml:space="preserve"> Year &amp; " commitment level"</f>
        <v>2019-20 commitment level</v>
      </c>
      <c r="I4" s="272" t="s">
        <v>773</v>
      </c>
      <c r="J4" s="272" t="s">
        <v>774</v>
      </c>
    </row>
    <row r="5" spans="2:11" x14ac:dyDescent="0.25">
      <c r="C5" s="258" t="s">
        <v>80</v>
      </c>
      <c r="D5" s="258" t="str">
        <f xml:space="preserve"> VLOOKUP( $C5, 'Map &amp; Key'!$C$78:$D$98, 2, 0 )</f>
        <v>Anglian Water</v>
      </c>
      <c r="E5" s="337" t="str">
        <f xml:space="preserve"> INDEX( 'INPUTS│Performance Commitments'!$E$285:$E$293, MATCH( $C5, 'INPUTS│Performance Commitments'!$C$285:$C$293, 0 ) + COUNTIF( $C$5:$C5, C5 ) - 1 )</f>
        <v>Percentage of bathing waters attaining excellent status</v>
      </c>
      <c r="F5" s="341">
        <f xml:space="preserve"> INDEX( 'INPUTS│Performance Commitments'!$G$297:$I$305, MATCH( $C5, 'INPUTS│Performance Commitments'!$C$297:$C$305, 0 ) + COUNTIF( $C$5:$C5, C5 ) - 1, MATCH( Year, 'INPUTS│Performance Commitments'!$G$3:$I$3, 0 ) )</f>
        <v>61</v>
      </c>
      <c r="G5" s="344">
        <f xml:space="preserve"> INDEX( 'INPUTS│Performance Commitments'!$G$285:$I$293, MATCH( $C5, 'INPUTS│Performance Commitments'!$C$285:$C$293, 0 ) + COUNTIF( $C$5:$C5, C5 ) - 1, MATCH( Year, 'INPUTS│Performance Commitments'!$G$3:$I$3, 0 ) )</f>
        <v>67</v>
      </c>
      <c r="I5" s="344" t="str">
        <f xml:space="preserve"> INDEX( 'INPUTS│Performance Commitments'!$L$285:$L$293, MATCH( $C5, 'INPUTS│Performance Commitments'!$C$285:$C$293, 0 ) + COUNTIF( $C$5:$C5, C5 ) - 1 )</f>
        <v>Up</v>
      </c>
      <c r="J5" s="341" t="b">
        <f xml:space="preserve"> IF( OR( F5 = "-", G5 = "-" ), "-", IF( I5 = "Up", F5 &gt;= G5, F5 &lt;= G5 ) )</f>
        <v>0</v>
      </c>
    </row>
    <row r="6" spans="2:11" x14ac:dyDescent="0.25">
      <c r="C6" s="258" t="s">
        <v>87</v>
      </c>
      <c r="D6" s="258" t="str">
        <f xml:space="preserve"> VLOOKUP( $C6, 'Map &amp; Key'!$C$78:$D$98, 2, 0 )</f>
        <v>Northumbrian Water</v>
      </c>
      <c r="E6" s="337" t="str">
        <f xml:space="preserve"> INDEX( 'INPUTS│Performance Commitments'!$E$285:$E$293, MATCH( $C6, 'INPUTS│Performance Commitments'!$C$285:$C$293, 0 ) + COUNTIF( $C$5:$C6, C6 ) - 1 )</f>
        <v>Bathing water compliance</v>
      </c>
      <c r="F6" s="341">
        <f xml:space="preserve"> INDEX( 'INPUTS│Performance Commitments'!$G$297:$I$305, MATCH( $C6, 'INPUTS│Performance Commitments'!$C$297:$C$305, 0 ) + COUNTIF( $C$5:$C6, C6 ) - 1, MATCH( Year, 'INPUTS│Performance Commitments'!$G$3:$I$3, 0 ) )</f>
        <v>33</v>
      </c>
      <c r="G6" s="344">
        <f xml:space="preserve"> INDEX( 'INPUTS│Performance Commitments'!$G$285:$I$293, MATCH( $C6, 'INPUTS│Performance Commitments'!$C$285:$C$293, 0 ) + COUNTIF( $C$5:$C6, C6 ) - 1, MATCH( Year, 'INPUTS│Performance Commitments'!$G$3:$I$3, 0 ) )</f>
        <v>34</v>
      </c>
      <c r="I6" s="344" t="str">
        <f xml:space="preserve"> INDEX( 'INPUTS│Performance Commitments'!$L$285:$L$293, MATCH( $C6, 'INPUTS│Performance Commitments'!$C$285:$C$293, 0 ) + COUNTIF( $C$5:$C6, C6 ) - 1 )</f>
        <v>Up</v>
      </c>
      <c r="J6" s="341" t="b">
        <f t="shared" ref="J6:J13" si="0" xml:space="preserve"> IF( OR( F6 = "-", G6 = "-" ), "-", IF( I6 = "Up", F6 &gt;= G6, F6 &lt;= G6 ) )</f>
        <v>0</v>
      </c>
    </row>
    <row r="7" spans="2:11" x14ac:dyDescent="0.25">
      <c r="C7" s="258" t="s">
        <v>91</v>
      </c>
      <c r="D7" s="258" t="str">
        <f xml:space="preserve"> VLOOKUP( $C7, 'Map &amp; Key'!$C$78:$D$98, 2, 0 )</f>
        <v>South West Water</v>
      </c>
      <c r="E7" s="337" t="str">
        <f xml:space="preserve"> INDEX( 'INPUTS│Performance Commitments'!$E$285:$E$293, MATCH( $C7, 'INPUTS│Performance Commitments'!$C$285:$C$293, 0 ) + COUNTIF( $C$5:$C7, C7 ) - 1 )</f>
        <v>No. of bathing waters meeting or exceeding agreed standard</v>
      </c>
      <c r="F7" s="341">
        <f xml:space="preserve"> INDEX( 'INPUTS│Performance Commitments'!$G$297:$I$305, MATCH( $C7, 'INPUTS│Performance Commitments'!$C$297:$C$305, 0 ) + COUNTIF( $C$5:$C7, C7 ) - 1, MATCH( Year, 'INPUTS│Performance Commitments'!$G$3:$I$3, 0 ) )</f>
        <v>0</v>
      </c>
      <c r="G7" s="344">
        <f xml:space="preserve"> INDEX( 'INPUTS│Performance Commitments'!$G$285:$I$293, MATCH( $C7, 'INPUTS│Performance Commitments'!$C$285:$C$293, 0 ) + COUNTIF( $C$5:$C7, C7 ) - 1, MATCH( Year, 'INPUTS│Performance Commitments'!$G$3:$I$3, 0 ) )</f>
        <v>0</v>
      </c>
      <c r="I7" s="344" t="str">
        <f xml:space="preserve"> INDEX( 'INPUTS│Performance Commitments'!$L$285:$L$293, MATCH( $C7, 'INPUTS│Performance Commitments'!$C$285:$C$293, 0 ) + COUNTIF( $C$5:$C7, C7 ) - 1 )</f>
        <v>Up</v>
      </c>
      <c r="J7" s="341" t="b">
        <f t="shared" si="0"/>
        <v>1</v>
      </c>
    </row>
    <row r="8" spans="2:11" x14ac:dyDescent="0.25">
      <c r="C8" s="347" t="s">
        <v>94</v>
      </c>
      <c r="D8" s="424" t="str">
        <f xml:space="preserve"> VLOOKUP( $C8, 'Map &amp; Key'!$C$78:$D$98, 2, 0 )</f>
        <v>Southern Water</v>
      </c>
      <c r="E8" s="427" t="str">
        <f xml:space="preserve"> INDEX( 'INPUTS│Performance Commitments'!$E$285:$E$293, MATCH( $C8, 'INPUTS│Performance Commitments'!$C$285:$C$293, 0 ) + COUNTIF( $C$5:$C8, C8 ) - 1 )</f>
        <v>Number of bathing water with excellent quality (part 2)</v>
      </c>
      <c r="F8" s="341">
        <f xml:space="preserve"> INDEX( 'INPUTS│Performance Commitments'!$G$297:$I$305, MATCH( $C8, 'INPUTS│Performance Commitments'!$C$297:$C$305, 0 ) + COUNTIF( $C$5:$C8, C8 ) - 1, MATCH( Year, 'INPUTS│Performance Commitments'!$G$3:$I$3, 0 ) )</f>
        <v>56</v>
      </c>
      <c r="G8" s="344">
        <f xml:space="preserve"> INDEX( 'INPUTS│Performance Commitments'!$G$285:$I$293, MATCH( $C8, 'INPUTS│Performance Commitments'!$C$285:$C$293, 0 ) + COUNTIF( $C$5:$C8, C8 ) - 1, MATCH( Year, 'INPUTS│Performance Commitments'!$G$3:$I$3, 0 ) )</f>
        <v>54</v>
      </c>
      <c r="I8" s="344" t="str">
        <f xml:space="preserve"> INDEX( 'INPUTS│Performance Commitments'!$L$285:$L$293, MATCH( $C8, 'INPUTS│Performance Commitments'!$C$285:$C$293, 0 ) + COUNTIF( $C$5:$C8, C8 ) - 1 )</f>
        <v>Up</v>
      </c>
      <c r="J8" s="341" t="b">
        <f t="shared" si="0"/>
        <v>1</v>
      </c>
    </row>
    <row r="9" spans="2:11" x14ac:dyDescent="0.25">
      <c r="C9" s="348" t="s">
        <v>94</v>
      </c>
      <c r="D9" s="425"/>
      <c r="E9" s="428" t="str">
        <f xml:space="preserve"> INDEX( 'INPUTS│Performance Commitments'!$E$285:$E$293, MATCH( $C9, 'INPUTS│Performance Commitments'!$C$285:$C$293, 0 ) + COUNTIF( $C$5:$C9, C9 ) - 1 )</f>
        <v>Number of bathing water with excellent quality (part 1)</v>
      </c>
      <c r="F9" s="341">
        <f xml:space="preserve"> INDEX( 'INPUTS│Performance Commitments'!$G$297:$I$305, MATCH( $C9, 'INPUTS│Performance Commitments'!$C$297:$C$305, 0 ) + COUNTIF( $C$5:$C9, C9 ) - 1, MATCH( Year, 'INPUTS│Performance Commitments'!$G$3:$I$3, 0 ) )</f>
        <v>6</v>
      </c>
      <c r="G9" s="344">
        <f xml:space="preserve"> INDEX( 'INPUTS│Performance Commitments'!$G$285:$I$293, MATCH( $C9, 'INPUTS│Performance Commitments'!$C$285:$C$293, 0 ) + COUNTIF( $C$5:$C9, C9 ) - 1, MATCH( Year, 'INPUTS│Performance Commitments'!$G$3:$I$3, 0 ) )</f>
        <v>7</v>
      </c>
      <c r="I9" s="344" t="str">
        <f xml:space="preserve"> INDEX( 'INPUTS│Performance Commitments'!$L$285:$L$293, MATCH( $C9, 'INPUTS│Performance Commitments'!$C$285:$C$293, 0 ) + COUNTIF( $C$5:$C9, C9 ) - 1 )</f>
        <v>Up</v>
      </c>
      <c r="J9" s="341" t="b">
        <f t="shared" si="0"/>
        <v>0</v>
      </c>
    </row>
    <row r="10" spans="2:11" x14ac:dyDescent="0.25">
      <c r="C10" s="269" t="s">
        <v>94</v>
      </c>
      <c r="D10" s="426"/>
      <c r="E10" s="429" t="str">
        <f xml:space="preserve"> INDEX( 'INPUTS│Performance Commitments'!$E$285:$E$293, MATCH( $C10, 'INPUTS│Performance Commitments'!$C$285:$C$293, 0 ) + COUNTIF( $C$5:$C10, C10 ) - 1 )</f>
        <v>bathing water part 3 (£million scheme)</v>
      </c>
      <c r="F10" s="343">
        <f xml:space="preserve"> INDEX( 'INPUTS│Performance Commitments'!$G$297:$I$305, MATCH( $C10, 'INPUTS│Performance Commitments'!$C$297:$C$305, 0 ) + COUNTIF( $C$5:$C10, C10 ) - 1, MATCH( Year, 'INPUTS│Performance Commitments'!$G$3:$I$3, 0 ) )</f>
        <v>26.8</v>
      </c>
      <c r="G10" s="345">
        <f xml:space="preserve"> INDEX( 'INPUTS│Performance Commitments'!$G$285:$I$293, MATCH( $C10, 'INPUTS│Performance Commitments'!$C$285:$C$293, 0 ) + COUNTIF( $C$5:$C10, C10 ) - 1, MATCH( Year, 'INPUTS│Performance Commitments'!$G$3:$I$3, 0 ) )</f>
        <v>31.5</v>
      </c>
      <c r="I10" s="344" t="str">
        <f xml:space="preserve"> INDEX( 'INPUTS│Performance Commitments'!$L$285:$L$293, MATCH( $C10, 'INPUTS│Performance Commitments'!$C$285:$C$293, 0 ) + COUNTIF( $C$5:$C10, C10 ) - 1 )</f>
        <v>Down</v>
      </c>
      <c r="J10" s="341" t="b">
        <f t="shared" si="0"/>
        <v>1</v>
      </c>
    </row>
    <row r="11" spans="2:11" x14ac:dyDescent="0.25">
      <c r="C11" s="258" t="s">
        <v>98</v>
      </c>
      <c r="D11" s="258" t="str">
        <f xml:space="preserve"> VLOOKUP( $C11, 'Map &amp; Key'!$C$78:$D$98, 2, 0 )</f>
        <v>United Utilities</v>
      </c>
      <c r="E11" s="337" t="str">
        <f xml:space="preserve"> INDEX( 'INPUTS│Performance Commitments'!$E$285:$E$293, MATCH( $C11, 'INPUTS│Performance Commitments'!$C$285:$C$293, 0 ) + COUNTIF( $C$5:$C11, C11 ) - 1 )</f>
        <v>Contribution to bathing waters improved (includes NEP phase 3&amp;4 bathing water intermittent discharge projects)</v>
      </c>
      <c r="F11" s="342">
        <f xml:space="preserve"> INDEX( 'INPUTS│Performance Commitments'!$G$297:$I$305, MATCH( $C11, 'INPUTS│Performance Commitments'!$C$297:$C$305, 0 ) + COUNTIF( $C$5:$C11, C11 ) - 1, MATCH( Year, 'INPUTS│Performance Commitments'!$G$3:$I$3, 0 ) )</f>
        <v>6.56</v>
      </c>
      <c r="G11" s="346">
        <f xml:space="preserve"> INDEX( 'INPUTS│Performance Commitments'!$G$285:$I$293, MATCH( $C11, 'INPUTS│Performance Commitments'!$C$285:$C$293, 0 ) + COUNTIF( $C$5:$C11, C11 ) - 1, MATCH( Year, 'INPUTS│Performance Commitments'!$G$3:$I$3, 0 ) )</f>
        <v>6.56</v>
      </c>
      <c r="I11" s="344" t="str">
        <f xml:space="preserve"> INDEX( 'INPUTS│Performance Commitments'!$L$285:$L$293, MATCH( $C11, 'INPUTS│Performance Commitments'!$C$285:$C$293, 0 ) + COUNTIF( $C$5:$C11, C11 ) - 1 )</f>
        <v>Up</v>
      </c>
      <c r="J11" s="341" t="b">
        <f t="shared" si="0"/>
        <v>1</v>
      </c>
    </row>
    <row r="12" spans="2:11" x14ac:dyDescent="0.25">
      <c r="C12" s="258" t="s">
        <v>100</v>
      </c>
      <c r="D12" s="258" t="str">
        <f xml:space="preserve"> VLOOKUP( $C12, 'Map &amp; Key'!$C$78:$D$98, 2, 0 )</f>
        <v>Wessex Water</v>
      </c>
      <c r="E12" s="337" t="str">
        <f xml:space="preserve"> INDEX( 'INPUTS│Performance Commitments'!$E$285:$E$293, MATCH( $C12, 'INPUTS│Performance Commitments'!$C$285:$C$293, 0 ) + COUNTIF( $C$5:$C12, C12 ) - 1 )</f>
        <v>Agreed schemes delivered (named outputs with bathing water drivers in the NEP)</v>
      </c>
      <c r="F12" s="341">
        <f xml:space="preserve"> INDEX( 'INPUTS│Performance Commitments'!$G$297:$I$305, MATCH( $C12, 'INPUTS│Performance Commitments'!$C$297:$C$305, 0 ) + COUNTIF( $C$5:$C12, C12 ) - 1, MATCH( Year, 'INPUTS│Performance Commitments'!$G$3:$I$3, 0 ) )</f>
        <v>96</v>
      </c>
      <c r="G12" s="344">
        <f xml:space="preserve"> INDEX( 'INPUTS│Performance Commitments'!$G$285:$I$293, MATCH( $C12, 'INPUTS│Performance Commitments'!$C$285:$C$293, 0 ) + COUNTIF( $C$5:$C12, C12 ) - 1, MATCH( Year, 'INPUTS│Performance Commitments'!$G$3:$I$3, 0 ) )</f>
        <v>100</v>
      </c>
      <c r="I12" s="344" t="str">
        <f xml:space="preserve"> INDEX( 'INPUTS│Performance Commitments'!$L$285:$L$293, MATCH( $C12, 'INPUTS│Performance Commitments'!$C$285:$C$293, 0 ) + COUNTIF( $C$5:$C12, C12 ) - 1 )</f>
        <v>Up</v>
      </c>
      <c r="J12" s="341" t="b">
        <f t="shared" si="0"/>
        <v>0</v>
      </c>
    </row>
    <row r="13" spans="2:11" x14ac:dyDescent="0.25">
      <c r="C13" s="258" t="s">
        <v>102</v>
      </c>
      <c r="D13" s="258" t="str">
        <f xml:space="preserve"> VLOOKUP( $C13, 'Map &amp; Key'!$C$78:$D$98, 2, 0 )</f>
        <v>Yorkshire Water</v>
      </c>
      <c r="E13" s="337" t="str">
        <f xml:space="preserve"> INDEX( 'INPUTS│Performance Commitments'!$E$285:$E$293, MATCH( $C13, 'INPUTS│Performance Commitments'!$C$285:$C$293, 0 ) + COUNTIF( $C$5:$C13, C13 ) - 1 )</f>
        <v>Number of designated bathing waters that exceed the required quality standard</v>
      </c>
      <c r="F13" s="341">
        <f xml:space="preserve"> INDEX( 'INPUTS│Performance Commitments'!$G$297:$I$305, MATCH( $C13, 'INPUTS│Performance Commitments'!$C$297:$C$305, 0 ) + COUNTIF( $C$5:$C13, C13 ) - 1, MATCH( Year, 'INPUTS│Performance Commitments'!$G$3:$I$3, 0 ) )</f>
        <v>17</v>
      </c>
      <c r="G13" s="344">
        <f xml:space="preserve"> INDEX( 'INPUTS│Performance Commitments'!$G$285:$I$293, MATCH( $C13, 'INPUTS│Performance Commitments'!$C$285:$C$293, 0 ) + COUNTIF( $C$5:$C13, C13 ) - 1, MATCH( Year, 'INPUTS│Performance Commitments'!$G$3:$I$3, 0 ) )</f>
        <v>16</v>
      </c>
      <c r="I13" s="344" t="str">
        <f xml:space="preserve"> INDEX( 'INPUTS│Performance Commitments'!$L$285:$L$293, MATCH( $C13, 'INPUTS│Performance Commitments'!$C$285:$C$293, 0 ) + COUNTIF( $C$5:$C13, C13 ) - 1 )</f>
        <v>Up</v>
      </c>
      <c r="J13" s="341" t="b">
        <f t="shared" si="0"/>
        <v>1</v>
      </c>
    </row>
    <row r="15" spans="2:11" ht="13.5" x14ac:dyDescent="0.35">
      <c r="B15" s="9" t="s">
        <v>706</v>
      </c>
      <c r="C15" s="9"/>
      <c r="D15" s="9"/>
      <c r="E15" s="9"/>
      <c r="F15" s="9" t="s">
        <v>785</v>
      </c>
      <c r="G15" s="9"/>
      <c r="H15" s="9"/>
      <c r="I15" s="9"/>
      <c r="J15" s="9"/>
      <c r="K15" s="9"/>
    </row>
    <row r="17" spans="2:11" ht="40.5" x14ac:dyDescent="0.25">
      <c r="C17" s="272" t="s">
        <v>223</v>
      </c>
      <c r="D17" s="272" t="s">
        <v>223</v>
      </c>
      <c r="E17" s="272" t="s">
        <v>766</v>
      </c>
      <c r="F17" s="272" t="str">
        <f>Year</f>
        <v>2019-20</v>
      </c>
      <c r="G17" s="272" t="str">
        <f xml:space="preserve"> Year &amp; " commitment level"</f>
        <v>2019-20 commitment level</v>
      </c>
      <c r="I17" s="272" t="s">
        <v>773</v>
      </c>
      <c r="J17" s="272" t="s">
        <v>774</v>
      </c>
    </row>
    <row r="18" spans="2:11" x14ac:dyDescent="0.25">
      <c r="C18" s="258" t="s">
        <v>89</v>
      </c>
      <c r="D18" s="424" t="str">
        <f xml:space="preserve"> VLOOKUP( $C18, 'Map &amp; Key'!$C$78:$D$98, 2, 0 )</f>
        <v>Severn Trent Water</v>
      </c>
      <c r="E18" s="337" t="str">
        <f xml:space="preserve"> INDEX( 'INPUTS│Performance Commitments'!$E$311:$E$321, MATCH( $C18, 'INPUTS│Performance Commitments'!$C$311:$C$321, 0 ) + COUNTIF( $C$18:$C18, C18 ) - 1 )</f>
        <v>The number of improvements in river water quality against WFD criteria</v>
      </c>
      <c r="F18" s="341">
        <f xml:space="preserve"> INDEX( 'INPUTS│Performance Commitments'!$G$325:$I$335, MATCH( $C18, 'INPUTS│Performance Commitments'!$C$325:$C$335, 0 ) + COUNTIF( $C$18:$C18, C18 ) - 1, MATCH( Year, 'INPUTS│Performance Commitments'!$G$3:$I$3, 0 ) )</f>
        <v>33</v>
      </c>
      <c r="G18" s="344">
        <f xml:space="preserve"> INDEX( 'INPUTS│Performance Commitments'!$G$311:$I$321, MATCH( $C18, 'INPUTS│Performance Commitments'!$C$311:$C$321, 0 ) + COUNTIF( $C$18:$C18, C18 ) - 1, MATCH( Year, 'INPUTS│Performance Commitments'!$G$3:$I$3, 0 ) )</f>
        <v>31</v>
      </c>
      <c r="I18" s="344" t="str">
        <f xml:space="preserve"> INDEX( 'INPUTS│Performance Commitments'!$L$311:$L$321, MATCH( $C18, 'INPUTS│Performance Commitments'!$C$311:$C$321, 0 ) + COUNTIF( $C$18:$C18, C18 ) - 1 )</f>
        <v>Up</v>
      </c>
      <c r="J18" s="341" t="b">
        <f t="shared" ref="J18:J28" si="1" xml:space="preserve"> IF( OR( F18 = "-", G18 = "-" ), "-", IF( I18 = "Up", F18 &gt;= G18, F18 &lt;= G18 ) )</f>
        <v>1</v>
      </c>
    </row>
    <row r="19" spans="2:11" x14ac:dyDescent="0.25">
      <c r="C19" s="258" t="s">
        <v>89</v>
      </c>
      <c r="D19" s="426"/>
      <c r="E19" s="337" t="str">
        <f xml:space="preserve"> INDEX( 'INPUTS│Performance Commitments'!$E$311:$E$321, MATCH( $C19, 'INPUTS│Performance Commitments'!$C$311:$C$321, 0 ) + COUNTIF( $C$18:$C19, C19 ) - 1 )</f>
        <v>The number of improvements in river water quality against WFD criteria</v>
      </c>
      <c r="F19" s="341">
        <f xml:space="preserve"> INDEX( 'INPUTS│Performance Commitments'!$G$325:$I$335, MATCH( $C19, 'INPUTS│Performance Commitments'!$C$325:$C$335, 0 ) + COUNTIF( $C$18:$C19, C19 ) - 1, MATCH( Year, 'INPUTS│Performance Commitments'!$G$3:$I$3, 0 ) )</f>
        <v>246</v>
      </c>
      <c r="G19" s="344">
        <f xml:space="preserve"> INDEX( 'INPUTS│Performance Commitments'!$G$311:$I$321, MATCH( $C19, 'INPUTS│Performance Commitments'!$C$311:$C$321, 0 ) + COUNTIF( $C$18:$C19, C19 ) - 1, MATCH( Year, 'INPUTS│Performance Commitments'!$G$3:$I$3, 0 ) )</f>
        <v>202</v>
      </c>
      <c r="I19" s="344" t="str">
        <f xml:space="preserve"> INDEX( 'INPUTS│Performance Commitments'!$L$311:$L$321, MATCH( $C19, 'INPUTS│Performance Commitments'!$C$311:$C$321, 0 ) + COUNTIF( $C$18:$C19, C19 ) - 1 )</f>
        <v>Up</v>
      </c>
      <c r="J19" s="341" t="b">
        <f t="shared" si="1"/>
        <v>1</v>
      </c>
    </row>
    <row r="20" spans="2:11" x14ac:dyDescent="0.25">
      <c r="C20" s="258" t="s">
        <v>91</v>
      </c>
      <c r="D20" s="258" t="str">
        <f xml:space="preserve"> VLOOKUP( $C20, 'Map &amp; Key'!$C$78:$D$98, 2, 0 )</f>
        <v>South West Water</v>
      </c>
      <c r="E20" s="337" t="str">
        <f xml:space="preserve"> INDEX( 'INPUTS│Performance Commitments'!$E$311:$E$321, MATCH( $C20, 'INPUTS│Performance Commitments'!$C$311:$C$321, 0 ) + COUNTIF( $C$18:$C20, C20 ) - 1 )</f>
        <v>Kilometres (km) of river water quality improved</v>
      </c>
      <c r="F20" s="341">
        <f xml:space="preserve"> INDEX( 'INPUTS│Performance Commitments'!$G$325:$I$335, MATCH( $C20, 'INPUTS│Performance Commitments'!$C$325:$C$335, 0 ) + COUNTIF( $C$18:$C20, C20 ) - 1, MATCH( Year, 'INPUTS│Performance Commitments'!$G$3:$I$3, 0 ) )</f>
        <v>659</v>
      </c>
      <c r="G20" s="344">
        <f xml:space="preserve"> INDEX( 'INPUTS│Performance Commitments'!$G$311:$I$321, MATCH( $C20, 'INPUTS│Performance Commitments'!$C$311:$C$321, 0 ) + COUNTIF( $C$18:$C20, C20 ) - 1, MATCH( Year, 'INPUTS│Performance Commitments'!$G$3:$I$3, 0 ) )</f>
        <v>650</v>
      </c>
      <c r="I20" s="344" t="str">
        <f xml:space="preserve"> INDEX( 'INPUTS│Performance Commitments'!$L$311:$L$321, MATCH( $C20, 'INPUTS│Performance Commitments'!$C$311:$C$321, 0 ) + COUNTIF( $C$18:$C20, C20 ) - 1 )</f>
        <v>Up</v>
      </c>
      <c r="J20" s="341" t="b">
        <f t="shared" si="1"/>
        <v>1</v>
      </c>
    </row>
    <row r="21" spans="2:11" x14ac:dyDescent="0.25">
      <c r="C21" s="347" t="s">
        <v>98</v>
      </c>
      <c r="D21" s="424" t="str">
        <f xml:space="preserve"> VLOOKUP( $C21, 'Map &amp; Key'!$C$78:$D$98, 2, 0 )</f>
        <v>United Utilities</v>
      </c>
      <c r="E21" s="337" t="str">
        <f xml:space="preserve"> INDEX( 'INPUTS│Performance Commitments'!$E$311:$E$321, MATCH( $C21, 'INPUTS│Performance Commitments'!$C$311:$C$321, 0 ) + COUNTIF( $C$18:$C21, C21 ) - 1 )</f>
        <v>Length of rivers improved through the water programme (cumulative)</v>
      </c>
      <c r="F21" s="341">
        <f xml:space="preserve"> INDEX( 'INPUTS│Performance Commitments'!$G$325:$I$335, MATCH( $C21, 'INPUTS│Performance Commitments'!$C$325:$C$335, 0 ) + COUNTIF( $C$18:$C21, C21 ) - 1, MATCH( Year, 'INPUTS│Performance Commitments'!$G$3:$I$3, 0 ) )</f>
        <v>159.5</v>
      </c>
      <c r="G21" s="344">
        <f xml:space="preserve"> INDEX( 'INPUTS│Performance Commitments'!$G$311:$I$321, MATCH( $C21, 'INPUTS│Performance Commitments'!$C$311:$C$321, 0 ) + COUNTIF( $C$18:$C21, C21 ) - 1, MATCH( Year, 'INPUTS│Performance Commitments'!$G$3:$I$3, 0 ) )</f>
        <v>159.5</v>
      </c>
      <c r="I21" s="344" t="str">
        <f xml:space="preserve"> INDEX( 'INPUTS│Performance Commitments'!$L$311:$L$321, MATCH( $C21, 'INPUTS│Performance Commitments'!$C$311:$C$321, 0 ) + COUNTIF( $C$18:$C21, C21 ) - 1 )</f>
        <v>Up</v>
      </c>
      <c r="J21" s="341" t="b">
        <f t="shared" si="1"/>
        <v>1</v>
      </c>
    </row>
    <row r="22" spans="2:11" x14ac:dyDescent="0.25">
      <c r="C22" s="348" t="s">
        <v>98</v>
      </c>
      <c r="D22" s="425"/>
      <c r="E22" s="337" t="str">
        <f xml:space="preserve"> INDEX( 'INPUTS│Performance Commitments'!$E$311:$E$321, MATCH( $C22, 'INPUTS│Performance Commitments'!$C$311:$C$321, 0 ) + COUNTIF( $C$18:$C22, C22 ) - 1 )</f>
        <v xml:space="preserve">Length of rivers protected from deterioration </v>
      </c>
      <c r="F22" s="341">
        <f xml:space="preserve"> INDEX( 'INPUTS│Performance Commitments'!$G$325:$I$335, MATCH( $C22, 'INPUTS│Performance Commitments'!$C$325:$C$335, 0 ) + COUNTIF( $C$18:$C22, C22 ) - 1, MATCH( Year, 'INPUTS│Performance Commitments'!$G$3:$I$3, 0 ) )</f>
        <v>365.48</v>
      </c>
      <c r="G22" s="344">
        <f xml:space="preserve"> INDEX( 'INPUTS│Performance Commitments'!$G$311:$I$321, MATCH( $C22, 'INPUTS│Performance Commitments'!$C$311:$C$321, 0 ) + COUNTIF( $C$18:$C22, C22 ) - 1, MATCH( Year, 'INPUTS│Performance Commitments'!$G$3:$I$3, 0 ) )</f>
        <v>346.6</v>
      </c>
      <c r="I22" s="344" t="str">
        <f xml:space="preserve"> INDEX( 'INPUTS│Performance Commitments'!$L$311:$L$321, MATCH( $C22, 'INPUTS│Performance Commitments'!$C$311:$C$321, 0 ) + COUNTIF( $C$18:$C22, C22 ) - 1 )</f>
        <v>Up</v>
      </c>
      <c r="J22" s="341" t="b">
        <f t="shared" si="1"/>
        <v>1</v>
      </c>
    </row>
    <row r="23" spans="2:11" x14ac:dyDescent="0.25">
      <c r="C23" s="269" t="s">
        <v>98</v>
      </c>
      <c r="D23" s="426"/>
      <c r="E23" s="337" t="str">
        <f xml:space="preserve"> INDEX( 'INPUTS│Performance Commitments'!$E$311:$E$321, MATCH( $C23, 'INPUTS│Performance Commitments'!$C$311:$C$321, 0 ) + COUNTIF( $C$18:$C23, C23 ) - 1 )</f>
        <v xml:space="preserve">Length of rivers improved through the wastewater programme </v>
      </c>
      <c r="F23" s="341">
        <f xml:space="preserve"> INDEX( 'INPUTS│Performance Commitments'!$G$325:$I$335, MATCH( $C23, 'INPUTS│Performance Commitments'!$C$325:$C$335, 0 ) + COUNTIF( $C$18:$C23, C23 ) - 1, MATCH( Year, 'INPUTS│Performance Commitments'!$G$3:$I$3, 0 ) )</f>
        <v>338.52</v>
      </c>
      <c r="G23" s="344">
        <f xml:space="preserve"> INDEX( 'INPUTS│Performance Commitments'!$G$311:$I$321, MATCH( $C23, 'INPUTS│Performance Commitments'!$C$311:$C$321, 0 ) + COUNTIF( $C$18:$C23, C23 ) - 1, MATCH( Year, 'INPUTS│Performance Commitments'!$G$3:$I$3, 0 ) )</f>
        <v>355.22</v>
      </c>
      <c r="I23" s="344" t="str">
        <f xml:space="preserve"> INDEX( 'INPUTS│Performance Commitments'!$L$311:$L$321, MATCH( $C23, 'INPUTS│Performance Commitments'!$C$311:$C$321, 0 ) + COUNTIF( $C$18:$C23, C23 ) - 1 )</f>
        <v>Up</v>
      </c>
      <c r="J23" s="341" t="b">
        <f t="shared" si="1"/>
        <v>0</v>
      </c>
    </row>
    <row r="24" spans="2:11" x14ac:dyDescent="0.25">
      <c r="C24" s="258" t="s">
        <v>96</v>
      </c>
      <c r="D24" s="258" t="str">
        <f xml:space="preserve"> VLOOKUP( $C24, 'Map &amp; Key'!$C$78:$D$98, 2, 0 )</f>
        <v>Thames Water</v>
      </c>
      <c r="E24" s="337" t="str">
        <f xml:space="preserve"> INDEX( 'INPUTS│Performance Commitments'!$E$311:$E$321, MATCH( $C24, 'INPUTS│Performance Commitments'!$C$311:$C$321, 0 ) + COUNTIF( $C$18:$C24, C24 ) - 1 )</f>
        <v>Reduce the amount of phosphorus entering rivers to help improve aquatic plant and wildlife (Kilograms of phosphorus removed per day)</v>
      </c>
      <c r="F24" s="341">
        <f xml:space="preserve"> INDEX( 'INPUTS│Performance Commitments'!$G$325:$I$335, MATCH( $C24, 'INPUTS│Performance Commitments'!$C$325:$C$335, 0 ) + COUNTIF( $C$18:$C24, C24 ) - 1, MATCH( Year, 'INPUTS│Performance Commitments'!$G$3:$I$3, 0 ) )</f>
        <v>59.3</v>
      </c>
      <c r="G24" s="344">
        <f xml:space="preserve"> INDEX( 'INPUTS│Performance Commitments'!$G$311:$I$321, MATCH( $C24, 'INPUTS│Performance Commitments'!$C$311:$C$321, 0 ) + COUNTIF( $C$18:$C24, C24 ) - 1, MATCH( Year, 'INPUTS│Performance Commitments'!$G$3:$I$3, 0 ) )</f>
        <v>59.3</v>
      </c>
      <c r="I24" s="344" t="str">
        <f xml:space="preserve"> INDEX( 'INPUTS│Performance Commitments'!$L$311:$L$321, MATCH( $C24, 'INPUTS│Performance Commitments'!$C$311:$C$321, 0 ) + COUNTIF( $C$18:$C24, C24 ) - 1 )</f>
        <v>Up</v>
      </c>
      <c r="J24" s="341" t="b">
        <f t="shared" si="1"/>
        <v>1</v>
      </c>
    </row>
    <row r="25" spans="2:11" x14ac:dyDescent="0.25">
      <c r="C25" s="258" t="s">
        <v>100</v>
      </c>
      <c r="D25" s="424" t="str">
        <f xml:space="preserve"> VLOOKUP( $C25, 'Map &amp; Key'!$C$78:$D$98, 2, 0 )</f>
        <v>Wessex Water</v>
      </c>
      <c r="E25" s="337" t="str">
        <f xml:space="preserve"> INDEX( 'INPUTS│Performance Commitments'!$E$311:$E$321, MATCH( $C25, 'INPUTS│Performance Commitments'!$C$311:$C$321, 0 ) + COUNTIF( $C$18:$C25, C25 ) - 1 )</f>
        <v>No. water bodies improved through WwTW investments</v>
      </c>
      <c r="F25" s="341">
        <f xml:space="preserve"> INDEX( 'INPUTS│Performance Commitments'!$G$325:$I$335, MATCH( $C25, 'INPUTS│Performance Commitments'!$C$325:$C$335, 0 ) + COUNTIF( $C$18:$C25, C25 ) - 1, MATCH( Year, 'INPUTS│Performance Commitments'!$G$3:$I$3, 0 ) )</f>
        <v>70</v>
      </c>
      <c r="G25" s="344">
        <f xml:space="preserve"> INDEX( 'INPUTS│Performance Commitments'!$G$311:$I$321, MATCH( $C25, 'INPUTS│Performance Commitments'!$C$311:$C$321, 0 ) + COUNTIF( $C$18:$C25, C25 ) - 1, MATCH( Year, 'INPUTS│Performance Commitments'!$G$3:$I$3, 0 ) )</f>
        <v>70</v>
      </c>
      <c r="I25" s="344" t="str">
        <f xml:space="preserve"> INDEX( 'INPUTS│Performance Commitments'!$L$311:$L$321, MATCH( $C25, 'INPUTS│Performance Commitments'!$C$311:$C$321, 0 ) + COUNTIF( $C$18:$C25, C25 ) - 1 )</f>
        <v>Up</v>
      </c>
      <c r="J25" s="341" t="b">
        <f t="shared" si="1"/>
        <v>1</v>
      </c>
    </row>
    <row r="26" spans="2:11" x14ac:dyDescent="0.25">
      <c r="C26" s="258" t="s">
        <v>100</v>
      </c>
      <c r="D26" s="426"/>
      <c r="E26" s="337" t="str">
        <f xml:space="preserve"> INDEX( 'INPUTS│Performance Commitments'!$E$311:$E$321, MATCH( $C26, 'INPUTS│Performance Commitments'!$C$311:$C$321, 0 ) + COUNTIF( $C$18:$C26, C26 ) - 1 )</f>
        <v>Length of rivers with improved flows (cumulative)</v>
      </c>
      <c r="F26" s="341">
        <f xml:space="preserve"> INDEX( 'INPUTS│Performance Commitments'!$G$325:$I$335, MATCH( $C26, 'INPUTS│Performance Commitments'!$C$325:$C$335, 0 ) + COUNTIF( $C$18:$C26, C26 ) - 1, MATCH( Year, 'INPUTS│Performance Commitments'!$G$3:$I$3, 0 ) )</f>
        <v>111</v>
      </c>
      <c r="G26" s="344">
        <f xml:space="preserve"> INDEX( 'INPUTS│Performance Commitments'!$G$311:$I$321, MATCH( $C26, 'INPUTS│Performance Commitments'!$C$311:$C$321, 0 ) + COUNTIF( $C$18:$C26, C26 ) - 1, MATCH( Year, 'INPUTS│Performance Commitments'!$G$3:$I$3, 0 ) )</f>
        <v>99</v>
      </c>
      <c r="I26" s="344" t="str">
        <f xml:space="preserve"> INDEX( 'INPUTS│Performance Commitments'!$L$311:$L$321, MATCH( $C26, 'INPUTS│Performance Commitments'!$C$311:$C$321, 0 ) + COUNTIF( $C$18:$C26, C26 ) - 1 )</f>
        <v>Up</v>
      </c>
      <c r="J26" s="341" t="b">
        <f t="shared" si="1"/>
        <v>1</v>
      </c>
    </row>
    <row r="27" spans="2:11" x14ac:dyDescent="0.25">
      <c r="C27" s="258" t="s">
        <v>102</v>
      </c>
      <c r="D27" s="424" t="str">
        <f xml:space="preserve"> VLOOKUP( $C27, 'Map &amp; Key'!$C$78:$D$98, 2, 0 )</f>
        <v>Yorkshire Water</v>
      </c>
      <c r="E27" s="337" t="str">
        <f xml:space="preserve"> INDEX( 'INPUTS│Performance Commitments'!$E$311:$E$321, MATCH( $C27, 'INPUTS│Performance Commitments'!$C$311:$C$321, 0 ) + COUNTIF( $C$18:$C27, C27 ) - 1 )</f>
        <v>Length of river improved (against WFD component measures) (wastewater)</v>
      </c>
      <c r="F27" s="341">
        <f xml:space="preserve"> INDEX( 'INPUTS│Performance Commitments'!$G$325:$I$335, MATCH( $C27, 'INPUTS│Performance Commitments'!$C$325:$C$335, 0 ) + COUNTIF( $C$18:$C27, C27 ) - 1, MATCH( Year, 'INPUTS│Performance Commitments'!$G$3:$I$3, 0 ) )</f>
        <v>352</v>
      </c>
      <c r="G27" s="344">
        <f xml:space="preserve"> INDEX( 'INPUTS│Performance Commitments'!$G$311:$I$321, MATCH( $C27, 'INPUTS│Performance Commitments'!$C$311:$C$321, 0 ) + COUNTIF( $C$18:$C27, C27 ) - 1, MATCH( Year, 'INPUTS│Performance Commitments'!$G$3:$I$3, 0 ) )</f>
        <v>340</v>
      </c>
      <c r="I27" s="344" t="str">
        <f xml:space="preserve"> INDEX( 'INPUTS│Performance Commitments'!$L$311:$L$321, MATCH( $C27, 'INPUTS│Performance Commitments'!$C$311:$C$321, 0 ) + COUNTIF( $C$18:$C27, C27 ) - 1 )</f>
        <v>Up</v>
      </c>
      <c r="J27" s="341" t="b">
        <f t="shared" si="1"/>
        <v>1</v>
      </c>
    </row>
    <row r="28" spans="2:11" x14ac:dyDescent="0.25">
      <c r="C28" s="258" t="s">
        <v>102</v>
      </c>
      <c r="D28" s="426"/>
      <c r="E28" s="337" t="str">
        <f xml:space="preserve"> INDEX( 'INPUTS│Performance Commitments'!$E$311:$E$321, MATCH( $C28, 'INPUTS│Performance Commitments'!$C$311:$C$321, 0 ) + COUNTIF( $C$18:$C28, C28 ) - 1 )</f>
        <v>length of river improved (water)</v>
      </c>
      <c r="F28" s="341">
        <f xml:space="preserve"> INDEX( 'INPUTS│Performance Commitments'!$G$325:$I$335, MATCH( $C28, 'INPUTS│Performance Commitments'!$C$325:$C$335, 0 ) + COUNTIF( $C$18:$C28, C28 ) - 1, MATCH( Year, 'INPUTS│Performance Commitments'!$G$3:$I$3, 0 ) )</f>
        <v>107</v>
      </c>
      <c r="G28" s="344">
        <f xml:space="preserve"> INDEX( 'INPUTS│Performance Commitments'!$G$311:$I$321, MATCH( $C28, 'INPUTS│Performance Commitments'!$C$311:$C$321, 0 ) + COUNTIF( $C$18:$C28, C28 ) - 1, MATCH( Year, 'INPUTS│Performance Commitments'!$G$3:$I$3, 0 ) )</f>
        <v>100</v>
      </c>
      <c r="I28" s="344" t="str">
        <f xml:space="preserve"> INDEX( 'INPUTS│Performance Commitments'!$L$311:$L$321, MATCH( $C28, 'INPUTS│Performance Commitments'!$C$311:$C$321, 0 ) + COUNTIF( $C$18:$C28, C28 ) - 1 )</f>
        <v>Up</v>
      </c>
      <c r="J28" s="341" t="b">
        <f t="shared" si="1"/>
        <v>1</v>
      </c>
    </row>
    <row r="30" spans="2:11" ht="13.5" x14ac:dyDescent="0.35">
      <c r="B30" s="9" t="s">
        <v>719</v>
      </c>
      <c r="C30" s="9"/>
      <c r="D30" s="9"/>
      <c r="E30" s="9"/>
      <c r="F30" s="9" t="s">
        <v>786</v>
      </c>
      <c r="G30" s="9"/>
      <c r="H30" s="9"/>
      <c r="I30" s="9"/>
      <c r="J30" s="9"/>
      <c r="K30" s="9"/>
    </row>
    <row r="32" spans="2:11" ht="40.5" x14ac:dyDescent="0.25">
      <c r="C32" s="272" t="s">
        <v>223</v>
      </c>
      <c r="D32" s="272" t="s">
        <v>223</v>
      </c>
      <c r="E32" s="272" t="s">
        <v>766</v>
      </c>
      <c r="F32" s="272" t="str">
        <f>Year</f>
        <v>2019-20</v>
      </c>
      <c r="G32" s="272" t="str">
        <f xml:space="preserve"> Year &amp; " commitment level"</f>
        <v>2019-20 commitment level</v>
      </c>
      <c r="I32" s="272" t="s">
        <v>773</v>
      </c>
      <c r="J32" s="272" t="s">
        <v>774</v>
      </c>
    </row>
    <row r="33" spans="2:11" x14ac:dyDescent="0.25">
      <c r="C33" s="258" t="s">
        <v>106</v>
      </c>
      <c r="D33" s="258" t="str">
        <f xml:space="preserve"> VLOOKUP( $C33, 'Map &amp; Key'!$C$78:$D$98, 2, 0 )</f>
        <v>Bristol Water</v>
      </c>
      <c r="E33" s="337" t="str">
        <f xml:space="preserve"> INDEX( 'INPUTS│Performance Commitments'!$E$341:$E$348, MATCH( $C33, 'INPUTS│Performance Commitments'!$C$341:$C$348, 0 ) + COUNTIF( $C$33:$C33, C33 ) - 1 )</f>
        <v>‘biodiversity index’</v>
      </c>
      <c r="F33" s="341">
        <f xml:space="preserve"> INDEX( 'INPUTS│Performance Commitments'!$G$352:$I$359, MATCH( $C33, 'INPUTS│Performance Commitments'!$C$352:$C$359, 0 ) + COUNTIF( $C$33:$C33, C33 ) - 1, MATCH( Year, 'INPUTS│Performance Commitments'!$G$3:$I$3, 0 ) )</f>
        <v>17670</v>
      </c>
      <c r="G33" s="344">
        <f xml:space="preserve"> INDEX( 'INPUTS│Performance Commitments'!$G$341:$I$348, MATCH( $C33, 'INPUTS│Performance Commitments'!$C$341:$C$348, 0 ) + COUNTIF( $C$33:$C33, C33 ) - 1, MATCH( Year, 'INPUTS│Performance Commitments'!$G$3:$I$3, 0 ) )</f>
        <v>17653</v>
      </c>
      <c r="I33" s="344" t="str">
        <f xml:space="preserve"> INDEX( 'INPUTS│Performance Commitments'!$L$341:$L$348, MATCH( $C33, 'INPUTS│Performance Commitments'!$C$341:$C$348, 0 ) + COUNTIF( $C$33:$C33, C33 ) - 1 )</f>
        <v>Up</v>
      </c>
      <c r="J33" s="341" t="b">
        <f t="shared" ref="J33:J40" si="2" xml:space="preserve"> IF( OR( F33 = "-", G33 = "-" ), "-", IF( I33 = "Up", F33 &gt;= G33, F33 &lt;= G33 ) )</f>
        <v>1</v>
      </c>
    </row>
    <row r="34" spans="2:11" x14ac:dyDescent="0.25">
      <c r="C34" s="258" t="s">
        <v>108</v>
      </c>
      <c r="D34" s="258" t="str">
        <f xml:space="preserve"> VLOOKUP( $C34, 'Map &amp; Key'!$C$78:$D$98, 2, 0 )</f>
        <v>Portsmouth Water</v>
      </c>
      <c r="E34" s="337" t="str">
        <f xml:space="preserve"> INDEX( 'INPUTS│Performance Commitments'!$E$341:$E$348, MATCH( $C34, 'INPUTS│Performance Commitments'!$C$341:$C$348, 0 ) + COUNTIF( $C$33:$C34, C34 ) - 1 )</f>
        <v>% (completion of agreed actions)</v>
      </c>
      <c r="F34" s="341">
        <f xml:space="preserve"> INDEX( 'INPUTS│Performance Commitments'!$G$352:$I$359, MATCH( $C34, 'INPUTS│Performance Commitments'!$C$352:$C$359, 0 ) + COUNTIF( $C$33:$C34, C34 ) - 1, MATCH( Year, 'INPUTS│Performance Commitments'!$G$3:$I$3, 0 ) )</f>
        <v>98</v>
      </c>
      <c r="G34" s="344">
        <f xml:space="preserve"> INDEX( 'INPUTS│Performance Commitments'!$G$341:$I$348, MATCH( $C34, 'INPUTS│Performance Commitments'!$C$341:$C$348, 0 ) + COUNTIF( $C$33:$C34, C34 ) - 1, MATCH( Year, 'INPUTS│Performance Commitments'!$G$3:$I$3, 0 ) )</f>
        <v>90</v>
      </c>
      <c r="I34" s="344" t="str">
        <f xml:space="preserve"> INDEX( 'INPUTS│Performance Commitments'!$L$341:$L$348, MATCH( $C34, 'INPUTS│Performance Commitments'!$C$341:$C$348, 0 ) + COUNTIF( $C$33:$C34, C34 ) - 1 )</f>
        <v>Up</v>
      </c>
      <c r="J34" s="341" t="b">
        <f t="shared" si="2"/>
        <v>1</v>
      </c>
    </row>
    <row r="35" spans="2:11" x14ac:dyDescent="0.25">
      <c r="C35" s="258" t="s">
        <v>114</v>
      </c>
      <c r="D35" s="258" t="str">
        <f xml:space="preserve"> VLOOKUP( $C35, 'Map &amp; Key'!$C$78:$D$98, 2, 0 )</f>
        <v>South Staffs Water</v>
      </c>
      <c r="E35" s="337" t="str">
        <f xml:space="preserve"> INDEX( 'INPUTS│Performance Commitments'!$E$341:$E$348, MATCH( $C35, 'INPUTS│Performance Commitments'!$C$341:$C$348, 0 ) + COUNTIF( $C$33:$C35, C35 ) - 1 )</f>
        <v>Cumulative total hectares of land under management per year (combined company)</v>
      </c>
      <c r="F35" s="341">
        <f xml:space="preserve"> INDEX( 'INPUTS│Performance Commitments'!$G$352:$I$359, MATCH( $C35, 'INPUTS│Performance Commitments'!$C$352:$C$359, 0 ) + COUNTIF( $C$33:$C35, C35 ) - 1, MATCH( Year, 'INPUTS│Performance Commitments'!$G$3:$I$3, 0 ) )</f>
        <v>169</v>
      </c>
      <c r="G35" s="344">
        <f xml:space="preserve"> INDEX( 'INPUTS│Performance Commitments'!$G$341:$I$348, MATCH( $C35, 'INPUTS│Performance Commitments'!$C$341:$C$348, 0 ) + COUNTIF( $C$33:$C35, C35 ) - 1, MATCH( Year, 'INPUTS│Performance Commitments'!$G$3:$I$3, 0 ) )</f>
        <v>116</v>
      </c>
      <c r="I35" s="344" t="str">
        <f xml:space="preserve"> INDEX( 'INPUTS│Performance Commitments'!$L$341:$L$348, MATCH( $C35, 'INPUTS│Performance Commitments'!$C$341:$C$348, 0 ) + COUNTIF( $C$33:$C35, C35 ) - 1 )</f>
        <v>Up</v>
      </c>
      <c r="J35" s="341" t="b">
        <f t="shared" si="2"/>
        <v>1</v>
      </c>
    </row>
    <row r="36" spans="2:11" x14ac:dyDescent="0.25">
      <c r="C36" s="258" t="s">
        <v>89</v>
      </c>
      <c r="D36" s="258" t="str">
        <f xml:space="preserve"> VLOOKUP( $C36, 'Map &amp; Key'!$C$78:$D$98, 2, 0 )</f>
        <v>Severn Trent Water</v>
      </c>
      <c r="E36" s="337" t="str">
        <f xml:space="preserve"> INDEX( 'INPUTS│Performance Commitments'!$E$341:$E$348, MATCH( $C36, 'INPUTS│Performance Commitments'!$C$341:$C$348, 0 ) + COUNTIF( $C$33:$C36, C36 ) - 1 )</f>
        <v>No. of hectares improved</v>
      </c>
      <c r="F36" s="341">
        <f xml:space="preserve"> INDEX( 'INPUTS│Performance Commitments'!$G$352:$I$359, MATCH( $C36, 'INPUTS│Performance Commitments'!$C$352:$C$359, 0 ) + COUNTIF( $C$33:$C36, C36 ) - 1, MATCH( Year, 'INPUTS│Performance Commitments'!$G$3:$I$3, 0 ) )</f>
        <v>567</v>
      </c>
      <c r="G36" s="344">
        <f xml:space="preserve"> INDEX( 'INPUTS│Performance Commitments'!$G$341:$I$348, MATCH( $C36, 'INPUTS│Performance Commitments'!$C$341:$C$348, 0 ) + COUNTIF( $C$33:$C36, C36 ) - 1, MATCH( Year, 'INPUTS│Performance Commitments'!$G$3:$I$3, 0 ) )</f>
        <v>409</v>
      </c>
      <c r="I36" s="344" t="str">
        <f xml:space="preserve"> INDEX( 'INPUTS│Performance Commitments'!$L$341:$L$348, MATCH( $C36, 'INPUTS│Performance Commitments'!$C$341:$C$348, 0 ) + COUNTIF( $C$33:$C36, C36 ) - 1 )</f>
        <v>Up</v>
      </c>
      <c r="J36" s="341" t="b">
        <f t="shared" si="2"/>
        <v>1</v>
      </c>
    </row>
    <row r="37" spans="2:11" x14ac:dyDescent="0.25">
      <c r="C37" s="258" t="s">
        <v>91</v>
      </c>
      <c r="D37" s="258" t="str">
        <f xml:space="preserve"> VLOOKUP( $C37, 'Map &amp; Key'!$C$78:$D$98, 2, 0 )</f>
        <v>South West Water</v>
      </c>
      <c r="E37" s="337" t="str">
        <f xml:space="preserve"> INDEX( 'INPUTS│Performance Commitments'!$E$341:$E$348, MATCH( $C37, 'INPUTS│Performance Commitments'!$C$341:$C$348, 0 ) + COUNTIF( $C$33:$C37, C37 ) - 1 )</f>
        <v>Kilometres (km) of river water quality improved</v>
      </c>
      <c r="F37" s="341">
        <f xml:space="preserve"> INDEX( 'INPUTS│Performance Commitments'!$G$352:$I$359, MATCH( $C37, 'INPUTS│Performance Commitments'!$C$352:$C$359, 0 ) + COUNTIF( $C$33:$C37, C37 ) - 1, MATCH( Year, 'INPUTS│Performance Commitments'!$G$3:$I$3, 0 ) )</f>
        <v>659</v>
      </c>
      <c r="G37" s="344">
        <f xml:space="preserve"> INDEX( 'INPUTS│Performance Commitments'!$G$341:$I$348, MATCH( $C37, 'INPUTS│Performance Commitments'!$C$341:$C$348, 0 ) + COUNTIF( $C$33:$C37, C37 ) - 1, MATCH( Year, 'INPUTS│Performance Commitments'!$G$3:$I$3, 0 ) )</f>
        <v>650</v>
      </c>
      <c r="I37" s="344" t="str">
        <f xml:space="preserve"> INDEX( 'INPUTS│Performance Commitments'!$L$341:$L$348, MATCH( $C37, 'INPUTS│Performance Commitments'!$C$341:$C$348, 0 ) + COUNTIF( $C$33:$C37, C37 ) - 1 )</f>
        <v>Up</v>
      </c>
      <c r="J37" s="341" t="b">
        <f t="shared" si="2"/>
        <v>1</v>
      </c>
    </row>
    <row r="38" spans="2:11" x14ac:dyDescent="0.25">
      <c r="C38" s="258" t="s">
        <v>100</v>
      </c>
      <c r="D38" s="258" t="str">
        <f xml:space="preserve"> VLOOKUP( $C38, 'Map &amp; Key'!$C$78:$D$98, 2, 0 )</f>
        <v>Wessex Water</v>
      </c>
      <c r="E38" s="337" t="str">
        <f xml:space="preserve"> INDEX( 'INPUTS│Performance Commitments'!$E$341:$E$348, MATCH( $C38, 'INPUTS│Performance Commitments'!$C$341:$C$348, 0 ) + COUNTIF( $C$33:$C38, C38 ) - 1 )</f>
        <v>% WSX landholding assessed &amp; managed for biodiversity</v>
      </c>
      <c r="F38" s="341">
        <f xml:space="preserve"> INDEX( 'INPUTS│Performance Commitments'!$G$352:$I$359, MATCH( $C38, 'INPUTS│Performance Commitments'!$C$352:$C$359, 0 ) + COUNTIF( $C$33:$C38, C38 ) - 1, MATCH( Year, 'INPUTS│Performance Commitments'!$G$3:$I$3, 0 ) )</f>
        <v>100</v>
      </c>
      <c r="G38" s="344">
        <f xml:space="preserve"> INDEX( 'INPUTS│Performance Commitments'!$G$341:$I$348, MATCH( $C38, 'INPUTS│Performance Commitments'!$C$341:$C$348, 0 ) + COUNTIF( $C$33:$C38, C38 ) - 1, MATCH( Year, 'INPUTS│Performance Commitments'!$G$3:$I$3, 0 ) )</f>
        <v>100</v>
      </c>
      <c r="I38" s="344" t="str">
        <f xml:space="preserve"> INDEX( 'INPUTS│Performance Commitments'!$L$341:$L$348, MATCH( $C38, 'INPUTS│Performance Commitments'!$C$341:$C$348, 0 ) + COUNTIF( $C$33:$C38, C38 ) - 1 )</f>
        <v>Up</v>
      </c>
      <c r="J38" s="341" t="b">
        <f t="shared" si="2"/>
        <v>1</v>
      </c>
    </row>
    <row r="39" spans="2:11" x14ac:dyDescent="0.25">
      <c r="C39" s="258" t="s">
        <v>102</v>
      </c>
      <c r="D39" s="424" t="str">
        <f xml:space="preserve"> VLOOKUP( $C39, 'Map &amp; Key'!$C$78:$D$98, 2, 0 )</f>
        <v>Yorkshire Water</v>
      </c>
      <c r="E39" s="337" t="str">
        <f xml:space="preserve"> INDEX( 'INPUTS│Performance Commitments'!$E$341:$E$348, MATCH( $C39, 'INPUTS│Performance Commitments'!$C$341:$C$348, 0 ) + COUNTIF( $C$33:$C39, C39 ) - 1 )</f>
        <v xml:space="preserve">Amount of land conserved and enhanced (total cumulative area - hectares) </v>
      </c>
      <c r="F39" s="341">
        <f xml:space="preserve"> INDEX( 'INPUTS│Performance Commitments'!$G$352:$I$359, MATCH( $C39, 'INPUTS│Performance Commitments'!$C$352:$C$359, 0 ) + COUNTIF( $C$33:$C39, C39 ) - 1, MATCH( Year, 'INPUTS│Performance Commitments'!$G$3:$I$3, 0 ) )</f>
        <v>11806</v>
      </c>
      <c r="G39" s="344">
        <f xml:space="preserve"> INDEX( 'INPUTS│Performance Commitments'!$G$341:$I$348, MATCH( $C39, 'INPUTS│Performance Commitments'!$C$341:$C$348, 0 ) + COUNTIF( $C$33:$C39, C39 ) - 1, MATCH( Year, 'INPUTS│Performance Commitments'!$G$3:$I$3, 0 ) )</f>
        <v>11736</v>
      </c>
      <c r="I39" s="344" t="str">
        <f xml:space="preserve"> INDEX( 'INPUTS│Performance Commitments'!$L$341:$L$348, MATCH( $C39, 'INPUTS│Performance Commitments'!$C$341:$C$348, 0 ) + COUNTIF( $C$33:$C39, C39 ) - 1 )</f>
        <v>Up</v>
      </c>
      <c r="J39" s="341" t="b">
        <f t="shared" si="2"/>
        <v>1</v>
      </c>
    </row>
    <row r="40" spans="2:11" x14ac:dyDescent="0.25">
      <c r="C40" s="258" t="s">
        <v>102</v>
      </c>
      <c r="D40" s="426"/>
      <c r="E40" s="337" t="str">
        <f xml:space="preserve"> INDEX( 'INPUTS│Performance Commitments'!$E$341:$E$348, MATCH( $C40, 'INPUTS│Performance Commitments'!$C$341:$C$348, 0 ) + COUNTIF( $C$33:$C40, C40 ) - 1 )</f>
        <v xml:space="preserve">Proportion of waste diverted from landfill (re-used and recycled) </v>
      </c>
      <c r="F40" s="341">
        <f xml:space="preserve"> INDEX( 'INPUTS│Performance Commitments'!$G$352:$I$359, MATCH( $C40, 'INPUTS│Performance Commitments'!$C$352:$C$359, 0 ) + COUNTIF( $C$33:$C40, C40 ) - 1, MATCH( Year, 'INPUTS│Performance Commitments'!$G$3:$I$3, 0 ) )</f>
        <v>100</v>
      </c>
      <c r="G40" s="344">
        <f xml:space="preserve"> INDEX( 'INPUTS│Performance Commitments'!$G$341:$I$348, MATCH( $C40, 'INPUTS│Performance Commitments'!$C$341:$C$348, 0 ) + COUNTIF( $C$33:$C40, C40 ) - 1, MATCH( Year, 'INPUTS│Performance Commitments'!$G$3:$I$3, 0 ) )</f>
        <v>95</v>
      </c>
      <c r="I40" s="344" t="str">
        <f xml:space="preserve"> INDEX( 'INPUTS│Performance Commitments'!$L$341:$L$348, MATCH( $C40, 'INPUTS│Performance Commitments'!$C$341:$C$348, 0 ) + COUNTIF( $C$33:$C40, C40 ) - 1 )</f>
        <v>Up</v>
      </c>
      <c r="J40" s="341" t="b">
        <f t="shared" si="2"/>
        <v>1</v>
      </c>
    </row>
    <row r="42" spans="2:11" ht="13.5" x14ac:dyDescent="0.35">
      <c r="B42" s="9" t="s">
        <v>732</v>
      </c>
      <c r="C42" s="9"/>
      <c r="D42" s="9"/>
      <c r="E42" s="9"/>
      <c r="F42" s="9" t="s">
        <v>787</v>
      </c>
      <c r="G42" s="9"/>
      <c r="H42" s="9"/>
      <c r="I42" s="9"/>
      <c r="J42" s="9"/>
      <c r="K42" s="9"/>
    </row>
    <row r="44" spans="2:11" ht="40.5" x14ac:dyDescent="0.25">
      <c r="C44" s="272" t="s">
        <v>223</v>
      </c>
      <c r="D44" s="272" t="s">
        <v>223</v>
      </c>
      <c r="E44" s="272" t="s">
        <v>766</v>
      </c>
      <c r="F44" s="272" t="str">
        <f>Year</f>
        <v>2019-20</v>
      </c>
      <c r="G44" s="272" t="str">
        <f xml:space="preserve"> Year &amp; " commitment level"</f>
        <v>2019-20 commitment level</v>
      </c>
      <c r="I44" s="272" t="s">
        <v>773</v>
      </c>
      <c r="J44" s="272" t="s">
        <v>774</v>
      </c>
    </row>
    <row r="45" spans="2:11" x14ac:dyDescent="0.25">
      <c r="C45" s="258" t="s">
        <v>80</v>
      </c>
      <c r="D45" s="424" t="str">
        <f xml:space="preserve"> VLOOKUP( $C45, 'Map &amp; Key'!$C$78:$D$98, 2, 0 )</f>
        <v>Anglian Water</v>
      </c>
      <c r="E45" s="337" t="str">
        <f xml:space="preserve"> INDEX( 'INPUTS│Performance Commitments'!$E$365:$E$383, MATCH( $C45, 'INPUTS│Performance Commitments'!$C$365:$C$383, 0 ) + COUNTIF( $C$45:$C45, C45 ) - 1 )</f>
        <v xml:space="preserve">Across company reduction in gross operational GHG submissions against a 2014-15 baseline </v>
      </c>
      <c r="F45" s="341">
        <f xml:space="preserve"> INDEX( 'INPUTS│Performance Commitments'!$G$387:$I$405, MATCH( $C45, 'INPUTS│Performance Commitments'!$C$387:$C$405, 0 ) + COUNTIF( $C$45:$C45, C45 ) - 1, MATCH( Year, 'INPUTS│Performance Commitments'!$G$3:$I$3, 0 ) )</f>
        <v>34</v>
      </c>
      <c r="G45" s="344">
        <f xml:space="preserve"> INDEX( 'INPUTS│Performance Commitments'!$G$365:$I$383, MATCH( $C45, 'INPUTS│Performance Commitments'!$C$365:$C$383, 0 ) + COUNTIF( $C$45:$C45, C45 ) - 1, MATCH( Year, 'INPUTS│Performance Commitments'!$G$3:$I$3, 0 ) )</f>
        <v>7</v>
      </c>
      <c r="I45" s="344" t="str">
        <f xml:space="preserve"> INDEX( 'INPUTS│Performance Commitments'!$L$365:$L$383, MATCH( $C45, 'INPUTS│Performance Commitments'!$C$365:$C$383, 0 ) + COUNTIF( $C$45:$C45, C45 ) - 1 )</f>
        <v>Up</v>
      </c>
      <c r="J45" s="341" t="b">
        <f t="shared" ref="J45:J63" si="3" xml:space="preserve"> IF( OR( F45 = "-", G45 = "-" ), "-", IF( I45 = "Up", F45 &gt;= G45, F45 &lt;= G45 ) )</f>
        <v>1</v>
      </c>
    </row>
    <row r="46" spans="2:11" x14ac:dyDescent="0.25">
      <c r="C46" s="258" t="s">
        <v>80</v>
      </c>
      <c r="D46" s="426"/>
      <c r="E46" s="337" t="str">
        <f xml:space="preserve"> INDEX( 'INPUTS│Performance Commitments'!$E$365:$E$383, MATCH( $C46, 'INPUTS│Performance Commitments'!$C$365:$C$383, 0 ) + COUNTIF( $C$45:$C46, C46 ) - 1 )</f>
        <v xml:space="preserve">Across company reduction in capital carbon against a 2010 baseline </v>
      </c>
      <c r="F46" s="341">
        <f xml:space="preserve"> INDEX( 'INPUTS│Performance Commitments'!$G$387:$I$405, MATCH( $C46, 'INPUTS│Performance Commitments'!$C$387:$C$405, 0 ) + COUNTIF( $C$45:$C46, C46 ) - 1, MATCH( Year, 'INPUTS│Performance Commitments'!$G$3:$I$3, 0 ) )</f>
        <v>61</v>
      </c>
      <c r="G46" s="344">
        <f xml:space="preserve"> INDEX( 'INPUTS│Performance Commitments'!$G$365:$I$383, MATCH( $C46, 'INPUTS│Performance Commitments'!$C$365:$C$383, 0 ) + COUNTIF( $C$45:$C46, C46 ) - 1, MATCH( Year, 'INPUTS│Performance Commitments'!$G$3:$I$3, 0 ) )</f>
        <v>60</v>
      </c>
      <c r="I46" s="344" t="str">
        <f xml:space="preserve"> INDEX( 'INPUTS│Performance Commitments'!$L$365:$L$383, MATCH( $C46, 'INPUTS│Performance Commitments'!$C$365:$C$383, 0 ) + COUNTIF( $C$45:$C46, C46 ) - 1 )</f>
        <v>Up</v>
      </c>
      <c r="J46" s="341" t="b">
        <f t="shared" si="3"/>
        <v>1</v>
      </c>
    </row>
    <row r="47" spans="2:11" x14ac:dyDescent="0.25">
      <c r="C47" s="258" t="s">
        <v>85</v>
      </c>
      <c r="D47" s="424" t="str">
        <f xml:space="preserve"> VLOOKUP( $C47, 'Map &amp; Key'!$C$78:$D$98, 2, 0 )</f>
        <v>Hafren Dyfrdwy</v>
      </c>
      <c r="E47" s="337" t="str">
        <f xml:space="preserve"> INDEX( 'INPUTS│Performance Commitments'!$E$365:$E$383, MATCH( $C47, 'INPUTS│Performance Commitments'!$C$365:$C$383, 0 ) + COUNTIF( $C$45:$C47, C47 ) - 1 )</f>
        <v>Size of our carbon footprint (ktCO2e) - water</v>
      </c>
      <c r="F47" s="341">
        <f xml:space="preserve"> INDEX( 'INPUTS│Performance Commitments'!$G$387:$I$405, MATCH( $C47, 'INPUTS│Performance Commitments'!$C$387:$C$405, 0 ) + COUNTIF( $C$45:$C47, C47 ) - 1, MATCH( Year, 'INPUTS│Performance Commitments'!$G$3:$I$3, 0 ) )</f>
        <v>3</v>
      </c>
      <c r="G47" s="344">
        <f xml:space="preserve"> INDEX( 'INPUTS│Performance Commitments'!$G$365:$I$383, MATCH( $C47, 'INPUTS│Performance Commitments'!$C$365:$C$383, 0 ) + COUNTIF( $C$45:$C47, C47 ) - 1, MATCH( Year, 'INPUTS│Performance Commitments'!$G$3:$I$3, 0 ) )</f>
        <v>2</v>
      </c>
      <c r="I47" s="344" t="str">
        <f xml:space="preserve"> INDEX( 'INPUTS│Performance Commitments'!$L$365:$L$383, MATCH( $C47, 'INPUTS│Performance Commitments'!$C$365:$C$383, 0 ) + COUNTIF( $C$45:$C47, C47 ) - 1 )</f>
        <v>Down</v>
      </c>
      <c r="J47" s="341" t="b">
        <f t="shared" si="3"/>
        <v>0</v>
      </c>
    </row>
    <row r="48" spans="2:11" x14ac:dyDescent="0.25">
      <c r="C48" s="258" t="s">
        <v>85</v>
      </c>
      <c r="D48" s="425"/>
      <c r="E48" s="337" t="str">
        <f xml:space="preserve"> INDEX( 'INPUTS│Performance Commitments'!$E$365:$E$383, MATCH( $C48, 'INPUTS│Performance Commitments'!$C$365:$C$383, 0 ) + COUNTIF( $C$45:$C48, C48 ) - 1 )</f>
        <v>Size of our carbon footprint (ktCO2e) - wastewater</v>
      </c>
      <c r="F48" s="341">
        <f xml:space="preserve"> INDEX( 'INPUTS│Performance Commitments'!$G$387:$I$405, MATCH( $C48, 'INPUTS│Performance Commitments'!$C$387:$C$405, 0 ) + COUNTIF( $C$45:$C48, C48 ) - 1, MATCH( Year, 'INPUTS│Performance Commitments'!$G$3:$I$3, 0 ) )</f>
        <v>2</v>
      </c>
      <c r="G48" s="344">
        <f xml:space="preserve"> INDEX( 'INPUTS│Performance Commitments'!$G$365:$I$383, MATCH( $C48, 'INPUTS│Performance Commitments'!$C$365:$C$383, 0 ) + COUNTIF( $C$45:$C48, C48 ) - 1, MATCH( Year, 'INPUTS│Performance Commitments'!$G$3:$I$3, 0 ) )</f>
        <v>2</v>
      </c>
      <c r="I48" s="344" t="str">
        <f xml:space="preserve"> INDEX( 'INPUTS│Performance Commitments'!$L$365:$L$383, MATCH( $C48, 'INPUTS│Performance Commitments'!$C$365:$C$383, 0 ) + COUNTIF( $C$45:$C48, C48 ) - 1 )</f>
        <v>Down</v>
      </c>
      <c r="J48" s="341" t="b">
        <f t="shared" si="3"/>
        <v>1</v>
      </c>
    </row>
    <row r="49" spans="3:10" x14ac:dyDescent="0.25">
      <c r="C49" s="258" t="s">
        <v>85</v>
      </c>
      <c r="D49" s="426"/>
      <c r="E49" s="337" t="str">
        <f xml:space="preserve"> INDEX( 'INPUTS│Performance Commitments'!$E$365:$E$383, MATCH( $C49, 'INPUTS│Performance Commitments'!$C$365:$C$383, 0 ) + COUNTIF( $C$45:$C49, C49 ) - 1 )</f>
        <v>Gross operational greenhouse gas emissions (tCO2e)</v>
      </c>
      <c r="F49" s="341">
        <f xml:space="preserve"> INDEX( 'INPUTS│Performance Commitments'!$G$387:$I$405, MATCH( $C49, 'INPUTS│Performance Commitments'!$C$387:$C$405, 0 ) + COUNTIF( $C$45:$C49, C49 ) - 1, MATCH( Year, 'INPUTS│Performance Commitments'!$G$3:$I$3, 0 ) )</f>
        <v>3950</v>
      </c>
      <c r="G49" s="344">
        <f xml:space="preserve"> INDEX( 'INPUTS│Performance Commitments'!$G$365:$I$383, MATCH( $C49, 'INPUTS│Performance Commitments'!$C$365:$C$383, 0 ) + COUNTIF( $C$45:$C49, C49 ) - 1, MATCH( Year, 'INPUTS│Performance Commitments'!$G$3:$I$3, 0 ) )</f>
        <v>7535</v>
      </c>
      <c r="I49" s="344" t="str">
        <f xml:space="preserve"> INDEX( 'INPUTS│Performance Commitments'!$L$365:$L$383, MATCH( $C49, 'INPUTS│Performance Commitments'!$C$365:$C$383, 0 ) + COUNTIF( $C$45:$C49, C49 ) - 1 )</f>
        <v>Down</v>
      </c>
      <c r="J49" s="341" t="b">
        <f t="shared" si="3"/>
        <v>1</v>
      </c>
    </row>
    <row r="50" spans="3:10" x14ac:dyDescent="0.25">
      <c r="C50" s="258" t="s">
        <v>89</v>
      </c>
      <c r="D50" s="424" t="str">
        <f xml:space="preserve"> VLOOKUP( $C50, 'Map &amp; Key'!$C$78:$D$98, 2, 0 )</f>
        <v>Severn Trent Water</v>
      </c>
      <c r="E50" s="337" t="str">
        <f xml:space="preserve"> INDEX( 'INPUTS│Performance Commitments'!$E$365:$E$383, MATCH( $C50, 'INPUTS│Performance Commitments'!$C$365:$C$383, 0 ) + COUNTIF( $C$45:$C50, C50 ) - 1 )</f>
        <v>Size of our carbon footprint (ktCO2e) - water</v>
      </c>
      <c r="F50" s="341">
        <f xml:space="preserve"> INDEX( 'INPUTS│Performance Commitments'!$G$387:$I$405, MATCH( $C50, 'INPUTS│Performance Commitments'!$C$387:$C$405, 0 ) + COUNTIF( $C$45:$C50, C50 ) - 1, MATCH( Year, 'INPUTS│Performance Commitments'!$G$3:$I$3, 0 ) )</f>
        <v>213</v>
      </c>
      <c r="G50" s="344">
        <f xml:space="preserve"> INDEX( 'INPUTS│Performance Commitments'!$G$365:$I$383, MATCH( $C50, 'INPUTS│Performance Commitments'!$C$365:$C$383, 0 ) + COUNTIF( $C$45:$C50, C50 ) - 1, MATCH( Year, 'INPUTS│Performance Commitments'!$G$3:$I$3, 0 ) )</f>
        <v>214</v>
      </c>
      <c r="I50" s="344" t="str">
        <f xml:space="preserve"> INDEX( 'INPUTS│Performance Commitments'!$L$365:$L$383, MATCH( $C50, 'INPUTS│Performance Commitments'!$C$365:$C$383, 0 ) + COUNTIF( $C$45:$C50, C50 ) - 1 )</f>
        <v>Down</v>
      </c>
      <c r="J50" s="341" t="b">
        <f t="shared" si="3"/>
        <v>1</v>
      </c>
    </row>
    <row r="51" spans="3:10" x14ac:dyDescent="0.25">
      <c r="C51" s="258" t="s">
        <v>89</v>
      </c>
      <c r="D51" s="425"/>
      <c r="E51" s="337" t="str">
        <f xml:space="preserve"> INDEX( 'INPUTS│Performance Commitments'!$E$365:$E$383, MATCH( $C51, 'INPUTS│Performance Commitments'!$C$365:$C$383, 0 ) + COUNTIF( $C$45:$C51, C51 ) - 1 )</f>
        <v>Size of our carbon footprint (ktCO2e) - wastewater</v>
      </c>
      <c r="F51" s="341">
        <f xml:space="preserve"> INDEX( 'INPUTS│Performance Commitments'!$G$387:$I$405, MATCH( $C51, 'INPUTS│Performance Commitments'!$C$387:$C$405, 0 ) + COUNTIF( $C$45:$C51, C51 ) - 1, MATCH( Year, 'INPUTS│Performance Commitments'!$G$3:$I$3, 0 ) )</f>
        <v>211</v>
      </c>
      <c r="G51" s="344">
        <f xml:space="preserve"> INDEX( 'INPUTS│Performance Commitments'!$G$365:$I$383, MATCH( $C51, 'INPUTS│Performance Commitments'!$C$365:$C$383, 0 ) + COUNTIF( $C$45:$C51, C51 ) - 1, MATCH( Year, 'INPUTS│Performance Commitments'!$G$3:$I$3, 0 ) )</f>
        <v>210</v>
      </c>
      <c r="I51" s="344" t="str">
        <f xml:space="preserve"> INDEX( 'INPUTS│Performance Commitments'!$L$365:$L$383, MATCH( $C51, 'INPUTS│Performance Commitments'!$C$365:$C$383, 0 ) + COUNTIF( $C$45:$C51, C51 ) - 1 )</f>
        <v>Down</v>
      </c>
      <c r="J51" s="341" t="b">
        <f t="shared" si="3"/>
        <v>0</v>
      </c>
    </row>
    <row r="52" spans="3:10" x14ac:dyDescent="0.25">
      <c r="C52" s="258" t="s">
        <v>89</v>
      </c>
      <c r="D52" s="426"/>
      <c r="E52" s="337" t="str">
        <f xml:space="preserve"> INDEX( 'INPUTS│Performance Commitments'!$E$365:$E$383, MATCH( $C52, 'INPUTS│Performance Commitments'!$C$365:$C$383, 0 ) + COUNTIF( $C$45:$C52, C52 ) - 1 )</f>
        <v xml:space="preserve"> Gross operational greenhouse gas emissions (tCO2e)</v>
      </c>
      <c r="F52" s="341">
        <f xml:space="preserve"> INDEX( 'INPUTS│Performance Commitments'!$G$387:$I$405, MATCH( $C52, 'INPUTS│Performance Commitments'!$C$387:$C$405, 0 ) + COUNTIF( $C$45:$C52, C52 ) - 1, MATCH( Year, 'INPUTS│Performance Commitments'!$G$3:$I$3, 0 ) )</f>
        <v>1285</v>
      </c>
      <c r="G52" s="344">
        <f xml:space="preserve"> INDEX( 'INPUTS│Performance Commitments'!$G$365:$I$383, MATCH( $C52, 'INPUTS│Performance Commitments'!$C$365:$C$383, 0 ) + COUNTIF( $C$45:$C52, C52 ) - 1, MATCH( Year, 'INPUTS│Performance Commitments'!$G$3:$I$3, 0 ) )</f>
        <v>2192</v>
      </c>
      <c r="I52" s="344" t="str">
        <f xml:space="preserve"> INDEX( 'INPUTS│Performance Commitments'!$L$365:$L$383, MATCH( $C52, 'INPUTS│Performance Commitments'!$C$365:$C$383, 0 ) + COUNTIF( $C$45:$C52, C52 ) - 1 )</f>
        <v>Down</v>
      </c>
      <c r="J52" s="341" t="b">
        <f t="shared" si="3"/>
        <v>1</v>
      </c>
    </row>
    <row r="53" spans="3:10" x14ac:dyDescent="0.25">
      <c r="C53" s="258" t="s">
        <v>87</v>
      </c>
      <c r="D53" s="258" t="str">
        <f xml:space="preserve"> VLOOKUP( $C53, 'Map &amp; Key'!$C$78:$D$98, 2, 0 )</f>
        <v>Northumbrian Water</v>
      </c>
      <c r="E53" s="337" t="str">
        <f xml:space="preserve"> INDEX( 'INPUTS│Performance Commitments'!$E$365:$E$383, MATCH( $C53, 'INPUTS│Performance Commitments'!$C$365:$C$383, 0 ) + COUNTIF( $C$45:$C53, C53 ) - 1 )</f>
        <v>Across company greenhouse gas emissions  (ktCO2e)</v>
      </c>
      <c r="F53" s="341">
        <f xml:space="preserve"> INDEX( 'INPUTS│Performance Commitments'!$G$387:$I$405, MATCH( $C53, 'INPUTS│Performance Commitments'!$C$387:$C$405, 0 ) + COUNTIF( $C$45:$C53, C53 ) - 1, MATCH( Year, 'INPUTS│Performance Commitments'!$G$3:$I$3, 0 ) )</f>
        <v>139</v>
      </c>
      <c r="G53" s="344">
        <f xml:space="preserve"> INDEX( 'INPUTS│Performance Commitments'!$G$365:$I$383, MATCH( $C53, 'INPUTS│Performance Commitments'!$C$365:$C$383, 0 ) + COUNTIF( $C$45:$C53, C53 ) - 1, MATCH( Year, 'INPUTS│Performance Commitments'!$G$3:$I$3, 0 ) )</f>
        <v>150</v>
      </c>
      <c r="I53" s="344" t="str">
        <f xml:space="preserve"> INDEX( 'INPUTS│Performance Commitments'!$L$365:$L$383, MATCH( $C53, 'INPUTS│Performance Commitments'!$C$365:$C$383, 0 ) + COUNTIF( $C$45:$C53, C53 ) - 1 )</f>
        <v>Down</v>
      </c>
      <c r="J53" s="341" t="b">
        <f t="shared" si="3"/>
        <v>1</v>
      </c>
    </row>
    <row r="54" spans="3:10" x14ac:dyDescent="0.25">
      <c r="C54" s="258" t="s">
        <v>91</v>
      </c>
      <c r="D54" s="424" t="str">
        <f xml:space="preserve"> VLOOKUP( $C54, 'Map &amp; Key'!$C$78:$D$98, 2, 0 )</f>
        <v>South West Water</v>
      </c>
      <c r="E54" s="337" t="str">
        <f xml:space="preserve"> INDEX( 'INPUTS│Performance Commitments'!$E$365:$E$383, MATCH( $C54, 'INPUTS│Performance Commitments'!$C$365:$C$383, 0 ) + COUNTIF( $C$45:$C54, C54 ) - 1 )</f>
        <v>Reduce energy use in water delivery (kilowatt hours per megalitre)</v>
      </c>
      <c r="F54" s="341">
        <f xml:space="preserve"> INDEX( 'INPUTS│Performance Commitments'!$G$387:$I$405, MATCH( $C54, 'INPUTS│Performance Commitments'!$C$387:$C$405, 0 ) + COUNTIF( $C$45:$C54, C54 ) - 1, MATCH( Year, 'INPUTS│Performance Commitments'!$G$3:$I$3, 0 ) )</f>
        <v>615.67999999999995</v>
      </c>
      <c r="G54" s="344">
        <f xml:space="preserve"> INDEX( 'INPUTS│Performance Commitments'!$G$365:$I$383, MATCH( $C54, 'INPUTS│Performance Commitments'!$C$365:$C$383, 0 ) + COUNTIF( $C$45:$C54, C54 ) - 1, MATCH( Year, 'INPUTS│Performance Commitments'!$G$3:$I$3, 0 ) )</f>
        <v>530</v>
      </c>
      <c r="I54" s="344" t="str">
        <f xml:space="preserve"> INDEX( 'INPUTS│Performance Commitments'!$L$365:$L$383, MATCH( $C54, 'INPUTS│Performance Commitments'!$C$365:$C$383, 0 ) + COUNTIF( $C$45:$C54, C54 ) - 1 )</f>
        <v>Down</v>
      </c>
      <c r="J54" s="341" t="b">
        <f t="shared" si="3"/>
        <v>0</v>
      </c>
    </row>
    <row r="55" spans="3:10" x14ac:dyDescent="0.25">
      <c r="C55" s="258" t="s">
        <v>91</v>
      </c>
      <c r="D55" s="425"/>
      <c r="E55" s="337" t="str">
        <f xml:space="preserve"> INDEX( 'INPUTS│Performance Commitments'!$E$365:$E$383, MATCH( $C55, 'INPUTS│Performance Commitments'!$C$365:$C$383, 0 ) + COUNTIF( $C$45:$C55, C55 ) - 1 )</f>
        <v>Operational carbon emissions (ktCO2e) - Water</v>
      </c>
      <c r="F55" s="341">
        <f xml:space="preserve"> INDEX( 'INPUTS│Performance Commitments'!$G$387:$I$405, MATCH( $C55, 'INPUTS│Performance Commitments'!$C$387:$C$405, 0 ) + COUNTIF( $C$45:$C55, C55 ) - 1, MATCH( Year, 'INPUTS│Performance Commitments'!$G$3:$I$3, 0 ) )</f>
        <v>46.4</v>
      </c>
      <c r="G55" s="344">
        <f xml:space="preserve"> INDEX( 'INPUTS│Performance Commitments'!$G$365:$I$383, MATCH( $C55, 'INPUTS│Performance Commitments'!$C$365:$C$383, 0 ) + COUNTIF( $C$45:$C55, C55 ) - 1, MATCH( Year, 'INPUTS│Performance Commitments'!$G$3:$I$3, 0 ) )</f>
        <v>48</v>
      </c>
      <c r="I55" s="344" t="str">
        <f xml:space="preserve"> INDEX( 'INPUTS│Performance Commitments'!$L$365:$L$383, MATCH( $C55, 'INPUTS│Performance Commitments'!$C$365:$C$383, 0 ) + COUNTIF( $C$45:$C55, C55 ) - 1 )</f>
        <v>Down</v>
      </c>
      <c r="J55" s="341" t="b">
        <f t="shared" si="3"/>
        <v>1</v>
      </c>
    </row>
    <row r="56" spans="3:10" x14ac:dyDescent="0.25">
      <c r="C56" s="258" t="s">
        <v>91</v>
      </c>
      <c r="D56" s="426"/>
      <c r="E56" s="337" t="str">
        <f xml:space="preserve"> INDEX( 'INPUTS│Performance Commitments'!$E$365:$E$383, MATCH( $C56, 'INPUTS│Performance Commitments'!$C$365:$C$383, 0 ) + COUNTIF( $C$45:$C56, C56 ) - 1 )</f>
        <v>Operational carbon emissions (ktCO2e) - Wastewater</v>
      </c>
      <c r="F56" s="341">
        <f xml:space="preserve"> INDEX( 'INPUTS│Performance Commitments'!$G$387:$I$405, MATCH( $C56, 'INPUTS│Performance Commitments'!$C$387:$C$405, 0 ) + COUNTIF( $C$45:$C56, C56 ) - 1, MATCH( Year, 'INPUTS│Performance Commitments'!$G$3:$I$3, 0 ) )</f>
        <v>71.5</v>
      </c>
      <c r="G56" s="344">
        <f xml:space="preserve"> INDEX( 'INPUTS│Performance Commitments'!$G$365:$I$383, MATCH( $C56, 'INPUTS│Performance Commitments'!$C$365:$C$383, 0 ) + COUNTIF( $C$45:$C56, C56 ) - 1, MATCH( Year, 'INPUTS│Performance Commitments'!$G$3:$I$3, 0 ) )</f>
        <v>102</v>
      </c>
      <c r="I56" s="344" t="str">
        <f xml:space="preserve"> INDEX( 'INPUTS│Performance Commitments'!$L$365:$L$383, MATCH( $C56, 'INPUTS│Performance Commitments'!$C$365:$C$383, 0 ) + COUNTIF( $C$45:$C56, C56 ) - 1 )</f>
        <v>Down</v>
      </c>
      <c r="J56" s="341" t="b">
        <f t="shared" si="3"/>
        <v>1</v>
      </c>
    </row>
    <row r="57" spans="3:10" x14ac:dyDescent="0.25">
      <c r="C57" s="258" t="s">
        <v>96</v>
      </c>
      <c r="D57" s="424" t="str">
        <f xml:space="preserve"> VLOOKUP( $C57, 'Map &amp; Key'!$C$78:$D$98, 2, 0 )</f>
        <v>Thames Water</v>
      </c>
      <c r="E57" s="337" t="str">
        <f xml:space="preserve"> INDEX( 'INPUTS│Performance Commitments'!$E$365:$E$383, MATCH( $C57, 'INPUTS│Performance Commitments'!$C$365:$C$383, 0 ) + COUNTIF( $C$45:$C57, C57 ) - 1 )</f>
        <v>WC1: Greenhouse gas emissions from water operations (ktCO2e)</v>
      </c>
      <c r="F57" s="341">
        <f xml:space="preserve"> INDEX( 'INPUTS│Performance Commitments'!$G$387:$I$405, MATCH( $C57, 'INPUTS│Performance Commitments'!$C$387:$C$405, 0 ) + COUNTIF( $C$45:$C57, C57 ) - 1, MATCH( Year, 'INPUTS│Performance Commitments'!$G$3:$I$3, 0 ) )</f>
        <v>40.5</v>
      </c>
      <c r="G57" s="344">
        <f xml:space="preserve"> INDEX( 'INPUTS│Performance Commitments'!$G$365:$I$383, MATCH( $C57, 'INPUTS│Performance Commitments'!$C$365:$C$383, 0 ) + COUNTIF( $C$45:$C57, C57 ) - 1, MATCH( Year, 'INPUTS│Performance Commitments'!$G$3:$I$3, 0 ) )</f>
        <v>151</v>
      </c>
      <c r="I57" s="344" t="str">
        <f xml:space="preserve"> INDEX( 'INPUTS│Performance Commitments'!$L$365:$L$383, MATCH( $C57, 'INPUTS│Performance Commitments'!$C$365:$C$383, 0 ) + COUNTIF( $C$45:$C57, C57 ) - 1 )</f>
        <v>Down</v>
      </c>
      <c r="J57" s="341" t="b">
        <f t="shared" si="3"/>
        <v>1</v>
      </c>
    </row>
    <row r="58" spans="3:10" x14ac:dyDescent="0.25">
      <c r="C58" s="258" t="s">
        <v>96</v>
      </c>
      <c r="D58" s="426"/>
      <c r="E58" s="337" t="str">
        <f xml:space="preserve"> INDEX( 'INPUTS│Performance Commitments'!$E$365:$E$383, MATCH( $C58, 'INPUTS│Performance Commitments'!$C$365:$C$383, 0 ) + COUNTIF( $C$45:$C58, C58 ) - 1 )</f>
        <v>SC1: Greenhouse gas emissions from wastewater operations (ktCO2e)</v>
      </c>
      <c r="F58" s="341">
        <f xml:space="preserve"> INDEX( 'INPUTS│Performance Commitments'!$G$387:$I$405, MATCH( $C58, 'INPUTS│Performance Commitments'!$C$387:$C$405, 0 ) + COUNTIF( $C$45:$C58, C58 ) - 1, MATCH( Year, 'INPUTS│Performance Commitments'!$G$3:$I$3, 0 ) )</f>
        <v>217.4</v>
      </c>
      <c r="G58" s="344">
        <f xml:space="preserve"> INDEX( 'INPUTS│Performance Commitments'!$G$365:$I$383, MATCH( $C58, 'INPUTS│Performance Commitments'!$C$365:$C$383, 0 ) + COUNTIF( $C$45:$C58, C58 ) - 1, MATCH( Year, 'INPUTS│Performance Commitments'!$G$3:$I$3, 0 ) )</f>
        <v>270</v>
      </c>
      <c r="I58" s="344" t="str">
        <f xml:space="preserve"> INDEX( 'INPUTS│Performance Commitments'!$L$365:$L$383, MATCH( $C58, 'INPUTS│Performance Commitments'!$C$365:$C$383, 0 ) + COUNTIF( $C$45:$C58, C58 ) - 1 )</f>
        <v>Down</v>
      </c>
      <c r="J58" s="341" t="b">
        <f t="shared" si="3"/>
        <v>1</v>
      </c>
    </row>
    <row r="59" spans="3:10" x14ac:dyDescent="0.25">
      <c r="C59" s="258" t="s">
        <v>100</v>
      </c>
      <c r="D59" s="258" t="str">
        <f xml:space="preserve"> VLOOKUP( $C59, 'Map &amp; Key'!$C$78:$D$98, 2, 0 )</f>
        <v>Wessex Water</v>
      </c>
      <c r="E59" s="337" t="str">
        <f xml:space="preserve"> INDEX( 'INPUTS│Performance Commitments'!$E$365:$E$383, MATCH( $C59, 'INPUTS│Performance Commitments'!$C$365:$C$383, 0 ) + COUNTIF( $C$45:$C59, C59 ) - 1 )</f>
        <v>Greenhouse gas emissions (annual greenhouse gas emissions from operational services)</v>
      </c>
      <c r="F59" s="341">
        <f xml:space="preserve"> INDEX( 'INPUTS│Performance Commitments'!$G$387:$I$405, MATCH( $C59, 'INPUTS│Performance Commitments'!$C$387:$C$405, 0 ) + COUNTIF( $C$45:$C59, C59 ) - 1, MATCH( Year, 'INPUTS│Performance Commitments'!$G$3:$I$3, 0 ) )</f>
        <v>117</v>
      </c>
      <c r="G59" s="344">
        <f xml:space="preserve"> INDEX( 'INPUTS│Performance Commitments'!$G$365:$I$383, MATCH( $C59, 'INPUTS│Performance Commitments'!$C$365:$C$383, 0 ) + COUNTIF( $C$45:$C59, C59 ) - 1, MATCH( Year, 'INPUTS│Performance Commitments'!$G$3:$I$3, 0 ) )</f>
        <v>119</v>
      </c>
      <c r="I59" s="344" t="str">
        <f xml:space="preserve"> INDEX( 'INPUTS│Performance Commitments'!$L$365:$L$383, MATCH( $C59, 'INPUTS│Performance Commitments'!$C$365:$C$383, 0 ) + COUNTIF( $C$45:$C59, C59 ) - 1 )</f>
        <v>Down</v>
      </c>
      <c r="J59" s="341" t="b">
        <f t="shared" si="3"/>
        <v>1</v>
      </c>
    </row>
    <row r="60" spans="3:10" x14ac:dyDescent="0.25">
      <c r="C60" s="258" t="s">
        <v>106</v>
      </c>
      <c r="D60" s="258" t="str">
        <f xml:space="preserve"> VLOOKUP( $C60, 'Map &amp; Key'!$C$78:$D$98, 2, 0 )</f>
        <v>Bristol Water</v>
      </c>
      <c r="E60" s="337" t="str">
        <f xml:space="preserve"> INDEX( 'INPUTS│Performance Commitments'!$E$365:$E$383, MATCH( $C60, 'INPUTS│Performance Commitments'!$C$365:$C$383, 0 ) + COUNTIF( $C$45:$C60, C60 ) - 1 )</f>
        <v>Total carbon emissions (kgCO2e per person)</v>
      </c>
      <c r="F60" s="341">
        <f xml:space="preserve"> INDEX( 'INPUTS│Performance Commitments'!$G$387:$I$405, MATCH( $C60, 'INPUTS│Performance Commitments'!$C$387:$C$405, 0 ) + COUNTIF( $C$45:$C60, C60 ) - 1, MATCH( Year, 'INPUTS│Performance Commitments'!$G$3:$I$3, 0 ) )</f>
        <v>19</v>
      </c>
      <c r="G60" s="344">
        <f xml:space="preserve"> INDEX( 'INPUTS│Performance Commitments'!$G$365:$I$383, MATCH( $C60, 'INPUTS│Performance Commitments'!$C$365:$C$383, 0 ) + COUNTIF( $C$45:$C60, C60 ) - 1, MATCH( Year, 'INPUTS│Performance Commitments'!$G$3:$I$3, 0 ) )</f>
        <v>20</v>
      </c>
      <c r="I60" s="344" t="str">
        <f xml:space="preserve"> INDEX( 'INPUTS│Performance Commitments'!$L$365:$L$383, MATCH( $C60, 'INPUTS│Performance Commitments'!$C$365:$C$383, 0 ) + COUNTIF( $C$45:$C60, C60 ) - 1 )</f>
        <v>Down</v>
      </c>
      <c r="J60" s="341" t="b">
        <f t="shared" si="3"/>
        <v>1</v>
      </c>
    </row>
    <row r="61" spans="3:10" x14ac:dyDescent="0.25">
      <c r="C61" s="258" t="s">
        <v>112</v>
      </c>
      <c r="D61" s="258" t="str">
        <f xml:space="preserve"> VLOOKUP( $C61, 'Map &amp; Key'!$C$78:$D$98, 2, 0 )</f>
        <v>South East Water</v>
      </c>
      <c r="E61" s="337" t="str">
        <f xml:space="preserve"> INDEX( 'INPUTS│Performance Commitments'!$E$365:$E$383, MATCH( $C61, 'INPUTS│Performance Commitments'!$C$365:$C$383, 0 ) + COUNTIF( $C$45:$C61, C61 ) - 1 )</f>
        <v>Kg of carbon emissions per customer per year</v>
      </c>
      <c r="F61" s="341">
        <f xml:space="preserve"> INDEX( 'INPUTS│Performance Commitments'!$G$387:$I$405, MATCH( $C61, 'INPUTS│Performance Commitments'!$C$387:$C$405, 0 ) + COUNTIF( $C$45:$C61, C61 ) - 1, MATCH( Year, 'INPUTS│Performance Commitments'!$G$3:$I$3, 0 ) )</f>
        <v>35.9</v>
      </c>
      <c r="G61" s="344">
        <f xml:space="preserve"> INDEX( 'INPUTS│Performance Commitments'!$G$365:$I$383, MATCH( $C61, 'INPUTS│Performance Commitments'!$C$365:$C$383, 0 ) + COUNTIF( $C$45:$C61, C61 ) - 1, MATCH( Year, 'INPUTS│Performance Commitments'!$G$3:$I$3, 0 ) )</f>
        <v>37.700000000000003</v>
      </c>
      <c r="I61" s="344" t="str">
        <f xml:space="preserve"> INDEX( 'INPUTS│Performance Commitments'!$L$365:$L$383, MATCH( $C61, 'INPUTS│Performance Commitments'!$C$365:$C$383, 0 ) + COUNTIF( $C$45:$C61, C61 ) - 1 )</f>
        <v>Down</v>
      </c>
      <c r="J61" s="341" t="b">
        <f t="shared" si="3"/>
        <v>1</v>
      </c>
    </row>
    <row r="62" spans="3:10" x14ac:dyDescent="0.25">
      <c r="C62" s="258" t="s">
        <v>114</v>
      </c>
      <c r="D62" s="258" t="str">
        <f xml:space="preserve"> VLOOKUP( $C62, 'Map &amp; Key'!$C$78:$D$98, 2, 0 )</f>
        <v>South Staffs Water</v>
      </c>
      <c r="E62" s="337" t="str">
        <f xml:space="preserve"> INDEX( 'INPUTS│Performance Commitments'!$E$365:$E$383, MATCH( $C62, 'INPUTS│Performance Commitments'!$C$365:$C$383, 0 ) + COUNTIF( $C$45:$C62, C62 ) - 1 )</f>
        <v xml:space="preserve">Carbon emissions from power consumption (tonnes CO2e in real savings)  </v>
      </c>
      <c r="F62" s="341">
        <f xml:space="preserve"> INDEX( 'INPUTS│Performance Commitments'!$G$387:$I$405, MATCH( $C62, 'INPUTS│Performance Commitments'!$C$387:$C$405, 0 ) + COUNTIF( $C$45:$C62, C62 ) - 1, MATCH( Year, 'INPUTS│Performance Commitments'!$G$3:$I$3, 0 ) )</f>
        <v>716</v>
      </c>
      <c r="G62" s="344">
        <f xml:space="preserve"> INDEX( 'INPUTS│Performance Commitments'!$G$365:$I$383, MATCH( $C62, 'INPUTS│Performance Commitments'!$C$365:$C$383, 0 ) + COUNTIF( $C$45:$C62, C62 ) - 1, MATCH( Year, 'INPUTS│Performance Commitments'!$G$3:$I$3, 0 ) )</f>
        <v>5210</v>
      </c>
      <c r="I62" s="344" t="str">
        <f xml:space="preserve"> INDEX( 'INPUTS│Performance Commitments'!$L$365:$L$383, MATCH( $C62, 'INPUTS│Performance Commitments'!$C$365:$C$383, 0 ) + COUNTIF( $C$45:$C62, C62 ) - 1 )</f>
        <v>Up</v>
      </c>
      <c r="J62" s="341" t="b">
        <f t="shared" si="3"/>
        <v>0</v>
      </c>
    </row>
    <row r="63" spans="3:10" x14ac:dyDescent="0.25">
      <c r="C63" s="258" t="s">
        <v>110</v>
      </c>
      <c r="D63" s="258" t="str">
        <f xml:space="preserve"> VLOOKUP( $C63, 'Map &amp; Key'!$C$78:$D$98, 2, 0 )</f>
        <v>SES Water</v>
      </c>
      <c r="E63" s="337" t="str">
        <f xml:space="preserve"> INDEX( 'INPUTS│Performance Commitments'!$E$365:$E$383, MATCH( $C63, 'INPUTS│Performance Commitments'!$C$365:$C$383, 0 ) + COUNTIF( $C$45:$C63, C63 ) - 1 )</f>
        <v>Greenhouse gas emissions per million litres of water supplied</v>
      </c>
      <c r="F63" s="341">
        <f xml:space="preserve"> INDEX( 'INPUTS│Performance Commitments'!$G$387:$I$405, MATCH( $C63, 'INPUTS│Performance Commitments'!$C$387:$C$405, 0 ) + COUNTIF( $C$45:$C63, C63 ) - 1, MATCH( Year, 'INPUTS│Performance Commitments'!$G$3:$I$3, 0 ) )</f>
        <v>56</v>
      </c>
      <c r="G63" s="344">
        <f xml:space="preserve"> INDEX( 'INPUTS│Performance Commitments'!$G$365:$I$383, MATCH( $C63, 'INPUTS│Performance Commitments'!$C$365:$C$383, 0 ) + COUNTIF( $C$45:$C63, C63 ) - 1, MATCH( Year, 'INPUTS│Performance Commitments'!$G$3:$I$3, 0 ) )</f>
        <v>525</v>
      </c>
      <c r="I63" s="344" t="str">
        <f xml:space="preserve"> INDEX( 'INPUTS│Performance Commitments'!$L$365:$L$383, MATCH( $C63, 'INPUTS│Performance Commitments'!$C$365:$C$383, 0 ) + COUNTIF( $C$45:$C63, C63 ) - 1 )</f>
        <v>Down</v>
      </c>
      <c r="J63" s="341" t="b">
        <f t="shared" si="3"/>
        <v>1</v>
      </c>
    </row>
    <row r="65" spans="2:11" ht="13.5" x14ac:dyDescent="0.35">
      <c r="B65" s="9" t="s">
        <v>752</v>
      </c>
      <c r="C65" s="9"/>
      <c r="D65" s="9"/>
      <c r="E65" s="9"/>
      <c r="F65" s="9" t="s">
        <v>788</v>
      </c>
      <c r="G65" s="9"/>
      <c r="H65" s="9"/>
      <c r="I65" s="9"/>
      <c r="J65" s="9"/>
      <c r="K65" s="9"/>
    </row>
    <row r="67" spans="2:11" ht="40.5" x14ac:dyDescent="0.25">
      <c r="C67" s="272" t="s">
        <v>223</v>
      </c>
      <c r="D67" s="272" t="s">
        <v>223</v>
      </c>
      <c r="E67" s="272" t="s">
        <v>766</v>
      </c>
      <c r="F67" s="272" t="str">
        <f>Year</f>
        <v>2019-20</v>
      </c>
      <c r="G67" s="272" t="str">
        <f xml:space="preserve"> Year &amp; " commitment level"</f>
        <v>2019-20 commitment level</v>
      </c>
      <c r="I67" s="272" t="s">
        <v>773</v>
      </c>
      <c r="J67" s="272" t="s">
        <v>774</v>
      </c>
    </row>
    <row r="68" spans="2:11" x14ac:dyDescent="0.25">
      <c r="C68" s="258" t="s">
        <v>82</v>
      </c>
      <c r="D68" s="258" t="str">
        <f xml:space="preserve"> VLOOKUP( $C68, 'Map &amp; Key'!$C$78:$D$98, 2, 0 )</f>
        <v>Dŵr Cymru</v>
      </c>
      <c r="E68" s="337" t="str">
        <f xml:space="preserve"> INDEX( 'INPUTS│Performance Commitments'!$E$411:$E$420, MATCH( $C68, 'INPUTS│Performance Commitments'!$C$411:$C$420, 0 ) + COUNTIF( $C$68:$C68, C68 ) - 1 )</f>
        <v>gigawatt-hours (GWh) of renewable energy generated - water</v>
      </c>
      <c r="F68" s="341">
        <f xml:space="preserve"> INDEX( 'INPUTS│Performance Commitments'!$G$424:$I$433, MATCH( $C68, 'INPUTS│Performance Commitments'!$C$424:$C$433, 0 ) + COUNTIF( $C$68:$C68, C68 ) - 1, MATCH( Year, 'INPUTS│Performance Commitments'!$G$3:$I$3, 0 ) )</f>
        <v>45.25</v>
      </c>
      <c r="G68" s="344">
        <f xml:space="preserve"> INDEX( 'INPUTS│Performance Commitments'!$G$411:$I$420, MATCH( $C68, 'INPUTS│Performance Commitments'!$C$411:$C$420, 0 ) + COUNTIF( $C$68:$C68, C68 ) - 1, MATCH( Year, 'INPUTS│Performance Commitments'!$G$3:$I$3, 0 ) )</f>
        <v>17.78</v>
      </c>
      <c r="I68" s="344" t="str">
        <f xml:space="preserve"> INDEX( 'INPUTS│Performance Commitments'!$L$411:$L$420, MATCH( $C68, 'INPUTS│Performance Commitments'!$C$411:$C$420, 0 ) + COUNTIF( $C$68:$C68, C68 ) - 1 )</f>
        <v>Up</v>
      </c>
      <c r="J68" s="341" t="b">
        <f t="shared" ref="J68:J77" si="4" xml:space="preserve"> IF( OR( F68 = "-", G68 = "-" ), "-", IF( I68 = "Up", F68 &gt;= G68, F68 &lt;= G68 ) )</f>
        <v>1</v>
      </c>
    </row>
    <row r="69" spans="2:11" x14ac:dyDescent="0.25">
      <c r="C69" s="258" t="s">
        <v>82</v>
      </c>
      <c r="D69" s="258" t="str">
        <f xml:space="preserve"> VLOOKUP( $C69, 'Map &amp; Key'!$C$78:$D$98, 2, 0 )</f>
        <v>Dŵr Cymru</v>
      </c>
      <c r="E69" s="337" t="str">
        <f xml:space="preserve"> INDEX( 'INPUTS│Performance Commitments'!$E$411:$E$420, MATCH( $C69, 'INPUTS│Performance Commitments'!$C$411:$C$420, 0 ) + COUNTIF( $C$68:$C69, C69 ) - 1 )</f>
        <v>gigawatt-hours (GWh) of renewable energy generated - wastewater</v>
      </c>
      <c r="F69" s="341">
        <f xml:space="preserve"> INDEX( 'INPUTS│Performance Commitments'!$G$424:$I$433, MATCH( $C69, 'INPUTS│Performance Commitments'!$C$424:$C$433, 0 ) + COUNTIF( $C$68:$C69, C69 ) - 1, MATCH( Year, 'INPUTS│Performance Commitments'!$G$3:$I$3, 0 ) )</f>
        <v>76.73</v>
      </c>
      <c r="G69" s="344">
        <f xml:space="preserve"> INDEX( 'INPUTS│Performance Commitments'!$G$411:$I$420, MATCH( $C69, 'INPUTS│Performance Commitments'!$C$411:$C$420, 0 ) + COUNTIF( $C$68:$C69, C69 ) - 1, MATCH( Year, 'INPUTS│Performance Commitments'!$G$3:$I$3, 0 ) )</f>
        <v>82.22</v>
      </c>
      <c r="I69" s="344" t="str">
        <f xml:space="preserve"> INDEX( 'INPUTS│Performance Commitments'!$L$411:$L$420, MATCH( $C69, 'INPUTS│Performance Commitments'!$C$411:$C$420, 0 ) + COUNTIF( $C$68:$C69, C69 ) - 1 )</f>
        <v>Up</v>
      </c>
      <c r="J69" s="341" t="b">
        <f t="shared" si="4"/>
        <v>0</v>
      </c>
    </row>
    <row r="70" spans="2:11" x14ac:dyDescent="0.25">
      <c r="C70" s="258" t="s">
        <v>91</v>
      </c>
      <c r="D70" s="258" t="str">
        <f xml:space="preserve"> VLOOKUP( $C70, 'Map &amp; Key'!$C$78:$D$98, 2, 0 )</f>
        <v>South West Water</v>
      </c>
      <c r="E70" s="337" t="str">
        <f xml:space="preserve"> INDEX( 'INPUTS│Performance Commitments'!$E$411:$E$420, MATCH( $C70, 'INPUTS│Performance Commitments'!$C$411:$C$420, 0 ) + COUNTIF( $C$68:$C70, C70 ) - 1 )</f>
        <v>% energy from renewable sources - water</v>
      </c>
      <c r="F70" s="341">
        <f xml:space="preserve"> INDEX( 'INPUTS│Performance Commitments'!$G$424:$I$433, MATCH( $C70, 'INPUTS│Performance Commitments'!$C$424:$C$433, 0 ) + COUNTIF( $C$68:$C70, C70 ) - 1, MATCH( Year, 'INPUTS│Performance Commitments'!$G$3:$I$3, 0 ) )</f>
        <v>15.8</v>
      </c>
      <c r="G70" s="344">
        <f xml:space="preserve"> INDEX( 'INPUTS│Performance Commitments'!$G$411:$I$420, MATCH( $C70, 'INPUTS│Performance Commitments'!$C$411:$C$420, 0 ) + COUNTIF( $C$68:$C70, C70 ) - 1, MATCH( Year, 'INPUTS│Performance Commitments'!$G$3:$I$3, 0 ) )</f>
        <v>12.2</v>
      </c>
      <c r="I70" s="344" t="str">
        <f xml:space="preserve"> INDEX( 'INPUTS│Performance Commitments'!$L$411:$L$420, MATCH( $C70, 'INPUTS│Performance Commitments'!$C$411:$C$420, 0 ) + COUNTIF( $C$68:$C70, C70 ) - 1 )</f>
        <v>Up</v>
      </c>
      <c r="J70" s="341" t="b">
        <f t="shared" si="4"/>
        <v>1</v>
      </c>
    </row>
    <row r="71" spans="2:11" x14ac:dyDescent="0.25">
      <c r="C71" s="258" t="s">
        <v>91</v>
      </c>
      <c r="D71" s="258" t="str">
        <f xml:space="preserve"> VLOOKUP( $C71, 'Map &amp; Key'!$C$78:$D$98, 2, 0 )</f>
        <v>South West Water</v>
      </c>
      <c r="E71" s="337" t="str">
        <f xml:space="preserve"> INDEX( 'INPUTS│Performance Commitments'!$E$411:$E$420, MATCH( $C71, 'INPUTS│Performance Commitments'!$C$411:$C$420, 0 ) + COUNTIF( $C$68:$C71, C71 ) - 1 )</f>
        <v>% energy from renewable sources - wastewater</v>
      </c>
      <c r="F71" s="341">
        <f xml:space="preserve"> INDEX( 'INPUTS│Performance Commitments'!$G$424:$I$433, MATCH( $C71, 'INPUTS│Performance Commitments'!$C$424:$C$433, 0 ) + COUNTIF( $C$68:$C71, C71 ) - 1, MATCH( Year, 'INPUTS│Performance Commitments'!$G$3:$I$3, 0 ) )</f>
        <v>8.77</v>
      </c>
      <c r="G71" s="344">
        <f xml:space="preserve"> INDEX( 'INPUTS│Performance Commitments'!$G$411:$I$420, MATCH( $C71, 'INPUTS│Performance Commitments'!$C$411:$C$420, 0 ) + COUNTIF( $C$68:$C71, C71 ) - 1, MATCH( Year, 'INPUTS│Performance Commitments'!$G$3:$I$3, 0 ) )</f>
        <v>7.8</v>
      </c>
      <c r="I71" s="344" t="str">
        <f xml:space="preserve"> INDEX( 'INPUTS│Performance Commitments'!$L$411:$L$420, MATCH( $C71, 'INPUTS│Performance Commitments'!$C$411:$C$420, 0 ) + COUNTIF( $C$68:$C71, C71 ) - 1 )</f>
        <v>Up</v>
      </c>
      <c r="J71" s="341" t="b">
        <f t="shared" si="4"/>
        <v>1</v>
      </c>
    </row>
    <row r="72" spans="2:11" x14ac:dyDescent="0.25">
      <c r="C72" s="258" t="s">
        <v>94</v>
      </c>
      <c r="D72" s="258" t="str">
        <f xml:space="preserve"> VLOOKUP( $C72, 'Map &amp; Key'!$C$78:$D$98, 2, 0 )</f>
        <v>Southern Water</v>
      </c>
      <c r="E72" s="337" t="str">
        <f xml:space="preserve"> INDEX( 'INPUTS│Performance Commitments'!$E$411:$E$420, MATCH( $C72, 'INPUTS│Performance Commitments'!$C$411:$C$420, 0 ) + COUNTIF( $C$68:$C72, C72 ) - 1 )</f>
        <v>% of energy from renewable sources</v>
      </c>
      <c r="F72" s="341">
        <f xml:space="preserve"> INDEX( 'INPUTS│Performance Commitments'!$G$424:$I$433, MATCH( $C72, 'INPUTS│Performance Commitments'!$C$424:$C$433, 0 ) + COUNTIF( $C$68:$C72, C72 ) - 1, MATCH( Year, 'INPUTS│Performance Commitments'!$G$3:$I$3, 0 ) )</f>
        <v>16.100000000000001</v>
      </c>
      <c r="G72" s="344">
        <f xml:space="preserve"> INDEX( 'INPUTS│Performance Commitments'!$G$411:$I$420, MATCH( $C72, 'INPUTS│Performance Commitments'!$C$411:$C$420, 0 ) + COUNTIF( $C$68:$C72, C72 ) - 1, MATCH( Year, 'INPUTS│Performance Commitments'!$G$3:$I$3, 0 ) )</f>
        <v>16.5</v>
      </c>
      <c r="I72" s="344" t="str">
        <f xml:space="preserve"> INDEX( 'INPUTS│Performance Commitments'!$L$411:$L$420, MATCH( $C72, 'INPUTS│Performance Commitments'!$C$411:$C$420, 0 ) + COUNTIF( $C$68:$C72, C72 ) - 1 )</f>
        <v>Up</v>
      </c>
      <c r="J72" s="341" t="b">
        <f t="shared" si="4"/>
        <v>0</v>
      </c>
    </row>
    <row r="73" spans="2:11" x14ac:dyDescent="0.25">
      <c r="C73" s="258" t="s">
        <v>96</v>
      </c>
      <c r="D73" s="258" t="str">
        <f xml:space="preserve"> VLOOKUP( $C73, 'Map &amp; Key'!$C$78:$D$98, 2, 0 )</f>
        <v>Thames Water</v>
      </c>
      <c r="E73" s="337" t="str">
        <f xml:space="preserve"> INDEX( 'INPUTS│Performance Commitments'!$E$411:$E$420, MATCH( $C73, 'INPUTS│Performance Commitments'!$C$411:$C$420, 0 ) + COUNTIF( $C$68:$C73, C73 ) - 1 )</f>
        <v>Energy imported less energy exported - water (GWh)</v>
      </c>
      <c r="F73" s="341">
        <f xml:space="preserve"> INDEX( 'INPUTS│Performance Commitments'!$G$424:$I$433, MATCH( $C73, 'INPUTS│Performance Commitments'!$C$424:$C$433, 0 ) + COUNTIF( $C$68:$C73, C73 ) - 1, MATCH( Year, 'INPUTS│Performance Commitments'!$G$3:$I$3, 0 ) )</f>
        <v>506</v>
      </c>
      <c r="G73" s="344">
        <f xml:space="preserve"> INDEX( 'INPUTS│Performance Commitments'!$G$411:$I$420, MATCH( $C73, 'INPUTS│Performance Commitments'!$C$411:$C$420, 0 ) + COUNTIF( $C$68:$C73, C73 ) - 1, MATCH( Year, 'INPUTS│Performance Commitments'!$G$3:$I$3, 0 ) )</f>
        <v>476</v>
      </c>
      <c r="I73" s="344" t="str">
        <f xml:space="preserve"> INDEX( 'INPUTS│Performance Commitments'!$L$411:$L$420, MATCH( $C73, 'INPUTS│Performance Commitments'!$C$411:$C$420, 0 ) + COUNTIF( $C$68:$C73, C73 ) - 1 )</f>
        <v>Down</v>
      </c>
      <c r="J73" s="341" t="b">
        <f t="shared" si="4"/>
        <v>0</v>
      </c>
    </row>
    <row r="74" spans="2:11" x14ac:dyDescent="0.25">
      <c r="C74" s="258" t="s">
        <v>96</v>
      </c>
      <c r="D74" s="258" t="str">
        <f xml:space="preserve"> VLOOKUP( $C74, 'Map &amp; Key'!$C$78:$D$98, 2, 0 )</f>
        <v>Thames Water</v>
      </c>
      <c r="E74" s="337" t="str">
        <f xml:space="preserve"> INDEX( 'INPUTS│Performance Commitments'!$E$411:$E$420, MATCH( $C74, 'INPUTS│Performance Commitments'!$C$411:$C$420, 0 ) + COUNTIF( $C$68:$C74, C74 ) - 1 )</f>
        <v>Energy imported less energy exported - wastewater (GWh)</v>
      </c>
      <c r="F74" s="341">
        <f xml:space="preserve"> INDEX( 'INPUTS│Performance Commitments'!$G$424:$I$433, MATCH( $C74, 'INPUTS│Performance Commitments'!$C$424:$C$433, 0 ) + COUNTIF( $C$68:$C74, C74 ) - 1, MATCH( Year, 'INPUTS│Performance Commitments'!$G$3:$I$3, 0 ) )</f>
        <v>383</v>
      </c>
      <c r="G74" s="344">
        <f xml:space="preserve"> INDEX( 'INPUTS│Performance Commitments'!$G$411:$I$420, MATCH( $C74, 'INPUTS│Performance Commitments'!$C$411:$C$420, 0 ) + COUNTIF( $C$68:$C74, C74 ) - 1, MATCH( Year, 'INPUTS│Performance Commitments'!$G$3:$I$3, 0 ) )</f>
        <v>295</v>
      </c>
      <c r="I74" s="344" t="str">
        <f xml:space="preserve"> INDEX( 'INPUTS│Performance Commitments'!$L$411:$L$420, MATCH( $C74, 'INPUTS│Performance Commitments'!$C$411:$C$420, 0 ) + COUNTIF( $C$68:$C74, C74 ) - 1 )</f>
        <v>Down</v>
      </c>
      <c r="J74" s="341" t="b">
        <f t="shared" si="4"/>
        <v>0</v>
      </c>
    </row>
    <row r="75" spans="2:11" x14ac:dyDescent="0.25">
      <c r="C75" s="258" t="s">
        <v>100</v>
      </c>
      <c r="D75" s="258" t="str">
        <f xml:space="preserve"> VLOOKUP( $C75, 'Map &amp; Key'!$C$78:$D$98, 2, 0 )</f>
        <v>Wessex Water</v>
      </c>
      <c r="E75" s="337" t="str">
        <f xml:space="preserve"> INDEX( 'INPUTS│Performance Commitments'!$E$411:$E$420, MATCH( $C75, 'INPUTS│Performance Commitments'!$C$411:$C$420, 0 ) + COUNTIF( $C$68:$C75, C75 ) - 1 )</f>
        <v>Proportion of energy self-generated</v>
      </c>
      <c r="F75" s="341">
        <f xml:space="preserve"> INDEX( 'INPUTS│Performance Commitments'!$G$424:$I$433, MATCH( $C75, 'INPUTS│Performance Commitments'!$C$424:$C$433, 0 ) + COUNTIF( $C$68:$C75, C75 ) - 1, MATCH( Year, 'INPUTS│Performance Commitments'!$G$3:$I$3, 0 ) )</f>
        <v>25</v>
      </c>
      <c r="G75" s="344">
        <f xml:space="preserve"> INDEX( 'INPUTS│Performance Commitments'!$G$411:$I$420, MATCH( $C75, 'INPUTS│Performance Commitments'!$C$411:$C$420, 0 ) + COUNTIF( $C$68:$C75, C75 ) - 1, MATCH( Year, 'INPUTS│Performance Commitments'!$G$3:$I$3, 0 ) )</f>
        <v>24</v>
      </c>
      <c r="I75" s="344" t="str">
        <f xml:space="preserve"> INDEX( 'INPUTS│Performance Commitments'!$L$411:$L$420, MATCH( $C75, 'INPUTS│Performance Commitments'!$C$411:$C$420, 0 ) + COUNTIF( $C$68:$C75, C75 ) - 1 )</f>
        <v>Up</v>
      </c>
      <c r="J75" s="341" t="b">
        <f t="shared" si="4"/>
        <v>1</v>
      </c>
    </row>
    <row r="76" spans="2:11" x14ac:dyDescent="0.25">
      <c r="C76" s="258" t="s">
        <v>102</v>
      </c>
      <c r="D76" s="258" t="str">
        <f xml:space="preserve"> VLOOKUP( $C76, 'Map &amp; Key'!$C$78:$D$98, 2, 0 )</f>
        <v>Yorkshire Water</v>
      </c>
      <c r="E76" s="337" t="str">
        <f xml:space="preserve"> INDEX( 'INPUTS│Performance Commitments'!$E$411:$E$420, MATCH( $C76, 'INPUTS│Performance Commitments'!$C$411:$C$420, 0 ) + COUNTIF( $C$68:$C76, C76 ) - 1 )</f>
        <v>Proportion of energy used generated by renewable technology across the company.</v>
      </c>
      <c r="F76" s="341">
        <f xml:space="preserve"> INDEX( 'INPUTS│Performance Commitments'!$G$424:$I$433, MATCH( $C76, 'INPUTS│Performance Commitments'!$C$424:$C$433, 0 ) + COUNTIF( $C$68:$C76, C76 ) - 1, MATCH( Year, 'INPUTS│Performance Commitments'!$G$3:$I$3, 0 ) )</f>
        <v>15</v>
      </c>
      <c r="G76" s="344">
        <f xml:space="preserve"> INDEX( 'INPUTS│Performance Commitments'!$G$411:$I$420, MATCH( $C76, 'INPUTS│Performance Commitments'!$C$411:$C$420, 0 ) + COUNTIF( $C$68:$C76, C76 ) - 1, MATCH( Year, 'INPUTS│Performance Commitments'!$G$3:$I$3, 0 ) )</f>
        <v>12</v>
      </c>
      <c r="I76" s="344" t="str">
        <f xml:space="preserve"> INDEX( 'INPUTS│Performance Commitments'!$L$411:$L$420, MATCH( $C76, 'INPUTS│Performance Commitments'!$C$411:$C$420, 0 ) + COUNTIF( $C$68:$C76, C76 ) - 1 )</f>
        <v>Up</v>
      </c>
      <c r="J76" s="341" t="b">
        <f t="shared" si="4"/>
        <v>1</v>
      </c>
    </row>
    <row r="77" spans="2:11" x14ac:dyDescent="0.25">
      <c r="C77" s="258" t="s">
        <v>108</v>
      </c>
      <c r="D77" s="258" t="str">
        <f xml:space="preserve"> VLOOKUP( $C77, 'Map &amp; Key'!$C$78:$D$98, 2, 0 )</f>
        <v>Portsmouth Water</v>
      </c>
      <c r="E77" s="337" t="str">
        <f xml:space="preserve"> INDEX( 'INPUTS│Performance Commitments'!$E$411:$E$420, MATCH( $C77, 'INPUTS│Performance Commitments'!$C$411:$C$420, 0 ) + COUNTIF( $C$68:$C77, C77 ) - 1 )</f>
        <v>% increase in energy sourced from renewables</v>
      </c>
      <c r="F77" s="341" t="str">
        <f xml:space="preserve"> INDEX( 'INPUTS│Performance Commitments'!$G$424:$I$433, MATCH( $C77, 'INPUTS│Performance Commitments'!$C$424:$C$433, 0 ) + COUNTIF( $C$68:$C77, C77 ) - 1, MATCH( Year, 'INPUTS│Performance Commitments'!$G$3:$I$3, 0 ) )</f>
        <v>&gt; 95%</v>
      </c>
      <c r="G77" s="344">
        <f xml:space="preserve"> INDEX( 'INPUTS│Performance Commitments'!$G$411:$I$420, MATCH( $C77, 'INPUTS│Performance Commitments'!$C$411:$C$420, 0 ) + COUNTIF( $C$68:$C77, C77 ) - 1, MATCH( Year, 'INPUTS│Performance Commitments'!$G$3:$I$3, 0 ) )</f>
        <v>10</v>
      </c>
      <c r="I77" s="344" t="str">
        <f xml:space="preserve"> INDEX( 'INPUTS│Performance Commitments'!$L$411:$L$420, MATCH( $C77, 'INPUTS│Performance Commitments'!$C$411:$C$420, 0 ) + COUNTIF( $C$68:$C77, C77 ) - 1 )</f>
        <v>Up</v>
      </c>
      <c r="J77" s="341" t="b">
        <f t="shared" si="4"/>
        <v>1</v>
      </c>
    </row>
    <row r="79" spans="2:11" ht="13" x14ac:dyDescent="0.3">
      <c r="B79" s="17" t="s">
        <v>25</v>
      </c>
      <c r="C79" s="17"/>
      <c r="D79" s="17"/>
      <c r="E79" s="17"/>
      <c r="F79" s="17"/>
      <c r="G79" s="17"/>
      <c r="H79" s="17"/>
      <c r="I79" s="17"/>
      <c r="J79" s="17"/>
      <c r="K79" s="17"/>
    </row>
  </sheetData>
  <mergeCells count="12">
    <mergeCell ref="D8:D10"/>
    <mergeCell ref="E8:E10"/>
    <mergeCell ref="D18:D19"/>
    <mergeCell ref="D21:D23"/>
    <mergeCell ref="D50:D52"/>
    <mergeCell ref="D54:D56"/>
    <mergeCell ref="D57:D58"/>
    <mergeCell ref="D25:D26"/>
    <mergeCell ref="D27:D28"/>
    <mergeCell ref="D39:D40"/>
    <mergeCell ref="D47:D49"/>
    <mergeCell ref="D45:D46"/>
  </mergeCells>
  <conditionalFormatting sqref="F5:F13">
    <cfRule type="expression" dxfId="9" priority="9">
      <formula xml:space="preserve"> NOT( $J5 )</formula>
    </cfRule>
    <cfRule type="expression" dxfId="8" priority="10">
      <formula xml:space="preserve"> $J5</formula>
    </cfRule>
  </conditionalFormatting>
  <conditionalFormatting sqref="F18:F28">
    <cfRule type="expression" dxfId="7" priority="7">
      <formula xml:space="preserve"> NOT( $J18 )</formula>
    </cfRule>
    <cfRule type="expression" dxfId="6" priority="8">
      <formula xml:space="preserve"> $J18</formula>
    </cfRule>
  </conditionalFormatting>
  <conditionalFormatting sqref="F33:F40">
    <cfRule type="expression" dxfId="5" priority="5">
      <formula xml:space="preserve"> NOT( $J33 )</formula>
    </cfRule>
    <cfRule type="expression" dxfId="4" priority="6">
      <formula xml:space="preserve"> $J33</formula>
    </cfRule>
  </conditionalFormatting>
  <conditionalFormatting sqref="F45:F63">
    <cfRule type="expression" dxfId="3" priority="3">
      <formula xml:space="preserve"> NOT( $J45 )</formula>
    </cfRule>
    <cfRule type="expression" dxfId="2" priority="4">
      <formula xml:space="preserve"> $J45</formula>
    </cfRule>
  </conditionalFormatting>
  <conditionalFormatting sqref="F68:F77">
    <cfRule type="expression" dxfId="1" priority="1">
      <formula xml:space="preserve"> NOT( $J68 )</formula>
    </cfRule>
    <cfRule type="expression" dxfId="0" priority="2">
      <formula xml:space="preserve"> $J68</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B2:L120"/>
  <sheetViews>
    <sheetView showGridLines="0" workbookViewId="0"/>
  </sheetViews>
  <sheetFormatPr defaultColWidth="9" defaultRowHeight="12.5" x14ac:dyDescent="0.25"/>
  <cols>
    <col min="1" max="2" width="2.58203125" style="8" customWidth="1"/>
    <col min="3" max="4" width="10" style="8" customWidth="1"/>
    <col min="5" max="5" width="2.58203125" style="8" customWidth="1"/>
    <col min="6" max="11" width="10" style="8" customWidth="1"/>
    <col min="12" max="12" width="11.08203125" style="8" customWidth="1"/>
    <col min="13" max="16384" width="9" style="8"/>
  </cols>
  <sheetData>
    <row r="2" spans="2:12" ht="13.5" x14ac:dyDescent="0.35">
      <c r="B2" s="9" t="s">
        <v>26</v>
      </c>
      <c r="C2" s="9"/>
      <c r="D2" s="9"/>
      <c r="E2" s="9"/>
      <c r="F2" s="9"/>
      <c r="G2" s="9"/>
      <c r="H2" s="9"/>
      <c r="I2" s="9"/>
      <c r="J2" s="9"/>
      <c r="K2" s="9"/>
      <c r="L2" s="9"/>
    </row>
    <row r="4" spans="2:12" ht="13.5" x14ac:dyDescent="0.35">
      <c r="B4" s="32" t="s">
        <v>27</v>
      </c>
      <c r="C4" s="32"/>
      <c r="D4" s="32"/>
      <c r="E4" s="32"/>
      <c r="F4" s="32"/>
      <c r="G4" s="32"/>
      <c r="H4" s="32"/>
      <c r="I4" s="32"/>
      <c r="J4" s="32"/>
      <c r="K4" s="32"/>
      <c r="L4" s="32"/>
    </row>
    <row r="32" spans="2:12" ht="13.5" x14ac:dyDescent="0.35">
      <c r="B32" s="32" t="s">
        <v>28</v>
      </c>
      <c r="C32" s="32"/>
      <c r="D32" s="32"/>
      <c r="E32" s="32"/>
      <c r="F32" s="32"/>
      <c r="G32" s="32"/>
      <c r="H32" s="32"/>
      <c r="I32" s="32"/>
      <c r="J32" s="32"/>
      <c r="K32" s="32"/>
      <c r="L32" s="32"/>
    </row>
    <row r="34" spans="2:12" s="79" customFormat="1" ht="16.149999999999999" customHeight="1" x14ac:dyDescent="0.3">
      <c r="B34" s="283"/>
      <c r="C34" s="376" t="s">
        <v>29</v>
      </c>
      <c r="D34" s="377"/>
      <c r="E34" s="283"/>
      <c r="F34" s="283" t="s">
        <v>30</v>
      </c>
      <c r="G34" s="283"/>
      <c r="H34" s="283"/>
      <c r="I34" s="283"/>
      <c r="J34" s="283"/>
      <c r="K34" s="283"/>
      <c r="L34" s="283"/>
    </row>
    <row r="35" spans="2:12" ht="6" customHeight="1" x14ac:dyDescent="0.25">
      <c r="C35" s="378"/>
      <c r="D35" s="378"/>
    </row>
    <row r="36" spans="2:12" s="79" customFormat="1" ht="16.149999999999999" customHeight="1" x14ac:dyDescent="0.3">
      <c r="B36" s="283"/>
      <c r="C36" s="379" t="s">
        <v>31</v>
      </c>
      <c r="D36" s="380"/>
      <c r="E36" s="283"/>
      <c r="F36" s="283" t="s">
        <v>32</v>
      </c>
      <c r="G36" s="283"/>
      <c r="H36" s="283"/>
      <c r="I36" s="283"/>
      <c r="J36" s="283"/>
      <c r="K36" s="283"/>
      <c r="L36" s="283"/>
    </row>
    <row r="37" spans="2:12" ht="6" customHeight="1" x14ac:dyDescent="0.25">
      <c r="C37" s="378"/>
      <c r="D37" s="378"/>
    </row>
    <row r="38" spans="2:12" s="79" customFormat="1" ht="16.149999999999999" customHeight="1" x14ac:dyDescent="0.3">
      <c r="B38" s="283"/>
      <c r="C38" s="381" t="s">
        <v>33</v>
      </c>
      <c r="D38" s="382"/>
      <c r="E38" s="283"/>
      <c r="F38" s="283" t="s">
        <v>34</v>
      </c>
      <c r="G38" s="283"/>
      <c r="H38" s="283"/>
      <c r="I38" s="283"/>
      <c r="J38" s="283"/>
      <c r="K38" s="283"/>
      <c r="L38" s="283"/>
    </row>
    <row r="39" spans="2:12" ht="6" customHeight="1" x14ac:dyDescent="0.25">
      <c r="C39" s="378"/>
      <c r="D39" s="378"/>
    </row>
    <row r="40" spans="2:12" s="79" customFormat="1" ht="16.149999999999999" customHeight="1" x14ac:dyDescent="0.3">
      <c r="B40" s="283"/>
      <c r="C40" s="383" t="s">
        <v>35</v>
      </c>
      <c r="D40" s="384"/>
      <c r="E40" s="283"/>
      <c r="F40" s="283" t="s">
        <v>36</v>
      </c>
      <c r="G40" s="283"/>
      <c r="H40" s="283"/>
      <c r="I40" s="283"/>
      <c r="J40" s="283"/>
      <c r="K40" s="283"/>
      <c r="L40" s="283"/>
    </row>
    <row r="42" spans="2:12" ht="13.5" x14ac:dyDescent="0.35">
      <c r="B42" s="38" t="s">
        <v>37</v>
      </c>
      <c r="C42" s="38"/>
      <c r="D42" s="38"/>
      <c r="E42" s="38"/>
      <c r="F42" s="38"/>
      <c r="G42" s="38"/>
      <c r="H42" s="38"/>
      <c r="I42" s="38"/>
      <c r="J42" s="38"/>
      <c r="K42" s="38"/>
      <c r="L42" s="38"/>
    </row>
    <row r="44" spans="2:12" s="79" customFormat="1" ht="16.149999999999999" customHeight="1" x14ac:dyDescent="0.3">
      <c r="B44" s="283"/>
      <c r="C44" s="390" t="s">
        <v>38</v>
      </c>
      <c r="D44" s="390"/>
      <c r="E44" s="283"/>
      <c r="F44" s="283" t="s">
        <v>39</v>
      </c>
      <c r="G44" s="283"/>
      <c r="H44" s="283"/>
      <c r="I44" s="283"/>
      <c r="J44" s="283"/>
      <c r="K44" s="283"/>
      <c r="L44" s="283"/>
    </row>
    <row r="45" spans="2:12" s="79" customFormat="1" ht="16.149999999999999" customHeight="1" x14ac:dyDescent="0.3">
      <c r="B45" s="283"/>
      <c r="C45" s="391" t="s">
        <v>40</v>
      </c>
      <c r="D45" s="391"/>
      <c r="E45" s="283"/>
      <c r="F45" s="283" t="s">
        <v>41</v>
      </c>
      <c r="G45" s="283"/>
      <c r="H45" s="283"/>
      <c r="I45" s="283"/>
      <c r="J45" s="283"/>
      <c r="K45" s="283"/>
      <c r="L45" s="283"/>
    </row>
    <row r="46" spans="2:12" s="79" customFormat="1" ht="16.149999999999999" customHeight="1" x14ac:dyDescent="0.3">
      <c r="B46" s="283"/>
      <c r="C46" s="392" t="s">
        <v>42</v>
      </c>
      <c r="D46" s="392"/>
      <c r="E46" s="283"/>
      <c r="F46" s="283" t="s">
        <v>43</v>
      </c>
      <c r="G46" s="283"/>
      <c r="H46" s="283"/>
      <c r="I46" s="283"/>
      <c r="J46" s="283"/>
      <c r="K46" s="283"/>
      <c r="L46" s="283"/>
    </row>
    <row r="47" spans="2:12" s="79" customFormat="1" ht="16.149999999999999" customHeight="1" x14ac:dyDescent="0.3">
      <c r="B47" s="283"/>
      <c r="C47" s="393" t="s">
        <v>44</v>
      </c>
      <c r="D47" s="393"/>
      <c r="E47" s="283"/>
      <c r="F47" s="283" t="s">
        <v>45</v>
      </c>
      <c r="G47" s="283"/>
      <c r="H47" s="283"/>
      <c r="I47" s="283"/>
      <c r="J47" s="283"/>
      <c r="K47" s="283"/>
      <c r="L47" s="283"/>
    </row>
    <row r="48" spans="2:12" s="79" customFormat="1" ht="16.149999999999999" customHeight="1" x14ac:dyDescent="0.3">
      <c r="B48" s="283"/>
      <c r="C48" s="394" t="s">
        <v>46</v>
      </c>
      <c r="D48" s="394"/>
      <c r="E48" s="283"/>
      <c r="F48" s="283" t="s">
        <v>47</v>
      </c>
      <c r="G48" s="283"/>
      <c r="H48" s="283"/>
      <c r="I48" s="283"/>
      <c r="J48" s="283"/>
      <c r="K48" s="283"/>
      <c r="L48" s="283"/>
    </row>
    <row r="49" spans="2:12" s="79" customFormat="1" ht="16.149999999999999" customHeight="1" x14ac:dyDescent="0.3">
      <c r="B49" s="283"/>
      <c r="C49" s="395" t="s">
        <v>48</v>
      </c>
      <c r="D49" s="395"/>
      <c r="E49" s="283"/>
      <c r="F49" s="283" t="s">
        <v>49</v>
      </c>
      <c r="G49" s="283"/>
      <c r="H49" s="283"/>
      <c r="I49" s="283"/>
      <c r="J49" s="283"/>
      <c r="K49" s="283"/>
      <c r="L49" s="283"/>
    </row>
    <row r="50" spans="2:12" ht="6" customHeight="1" x14ac:dyDescent="0.25">
      <c r="C50" s="385"/>
      <c r="D50" s="385"/>
    </row>
    <row r="51" spans="2:12" s="79" customFormat="1" ht="16.149999999999999" customHeight="1" x14ac:dyDescent="0.3">
      <c r="B51" s="283"/>
      <c r="C51" s="386" t="s">
        <v>50</v>
      </c>
      <c r="D51" s="387"/>
      <c r="E51" s="283"/>
      <c r="F51" s="283" t="s">
        <v>51</v>
      </c>
      <c r="G51" s="283"/>
      <c r="H51" s="283"/>
      <c r="I51" s="283"/>
      <c r="J51" s="283"/>
      <c r="K51" s="283"/>
      <c r="L51" s="283"/>
    </row>
    <row r="52" spans="2:12" s="279" customFormat="1" ht="16.149999999999999" customHeight="1" x14ac:dyDescent="0.3">
      <c r="B52" s="283"/>
      <c r="C52" s="396" t="s">
        <v>52</v>
      </c>
      <c r="D52" s="397"/>
      <c r="E52" s="283"/>
      <c r="F52" s="283" t="s">
        <v>53</v>
      </c>
      <c r="G52" s="283"/>
      <c r="H52" s="283"/>
      <c r="I52" s="283"/>
      <c r="J52" s="283"/>
      <c r="K52" s="283"/>
      <c r="L52" s="283"/>
    </row>
    <row r="53" spans="2:12" s="79" customFormat="1" ht="16.149999999999999" customHeight="1" x14ac:dyDescent="0.3">
      <c r="B53" s="283"/>
      <c r="C53" s="388" t="s">
        <v>54</v>
      </c>
      <c r="D53" s="389"/>
      <c r="E53" s="283"/>
      <c r="F53" s="283" t="s">
        <v>55</v>
      </c>
      <c r="G53" s="283"/>
      <c r="H53" s="283"/>
      <c r="I53" s="283"/>
      <c r="J53" s="283"/>
      <c r="K53" s="283"/>
      <c r="L53" s="283"/>
    </row>
    <row r="54" spans="2:12" s="79" customFormat="1" ht="16.149999999999999" customHeight="1" x14ac:dyDescent="0.3">
      <c r="B54" s="283"/>
      <c r="C54" s="370" t="s">
        <v>56</v>
      </c>
      <c r="D54" s="371"/>
      <c r="E54" s="283"/>
      <c r="F54" s="283" t="s">
        <v>57</v>
      </c>
      <c r="G54" s="283"/>
      <c r="H54" s="283"/>
      <c r="I54" s="283"/>
      <c r="J54" s="283"/>
      <c r="K54" s="283"/>
      <c r="L54" s="283"/>
    </row>
    <row r="55" spans="2:12" s="79" customFormat="1" ht="16.149999999999999" customHeight="1" x14ac:dyDescent="0.3">
      <c r="B55" s="283"/>
      <c r="C55" s="372" t="s">
        <v>58</v>
      </c>
      <c r="D55" s="373"/>
      <c r="E55" s="283"/>
      <c r="F55" s="283" t="s">
        <v>59</v>
      </c>
      <c r="G55" s="283"/>
      <c r="H55" s="283"/>
      <c r="I55" s="283"/>
      <c r="J55" s="283"/>
      <c r="K55" s="283"/>
      <c r="L55" s="283"/>
    </row>
    <row r="56" spans="2:12" s="79" customFormat="1" ht="16.149999999999999" customHeight="1" x14ac:dyDescent="0.3">
      <c r="B56" s="283"/>
      <c r="C56" s="374" t="s">
        <v>60</v>
      </c>
      <c r="D56" s="375"/>
      <c r="E56" s="283"/>
      <c r="F56" s="283" t="s">
        <v>61</v>
      </c>
      <c r="G56" s="283"/>
      <c r="H56" s="283"/>
      <c r="I56" s="283"/>
      <c r="J56" s="283"/>
      <c r="K56" s="283"/>
      <c r="L56" s="283"/>
    </row>
    <row r="57" spans="2:12" s="79" customFormat="1" ht="16.149999999999999" customHeight="1" x14ac:dyDescent="0.3">
      <c r="B57" s="283"/>
      <c r="C57" s="368" t="s">
        <v>62</v>
      </c>
      <c r="D57" s="369"/>
      <c r="E57" s="283"/>
      <c r="F57" s="283" t="s">
        <v>63</v>
      </c>
      <c r="G57" s="283"/>
      <c r="H57" s="283"/>
      <c r="I57" s="283"/>
      <c r="J57" s="283"/>
      <c r="K57" s="283"/>
      <c r="L57" s="283"/>
    </row>
    <row r="59" spans="2:12" ht="13.5" x14ac:dyDescent="0.35">
      <c r="B59" s="38" t="s">
        <v>64</v>
      </c>
      <c r="C59" s="38"/>
      <c r="D59" s="38"/>
      <c r="E59" s="38"/>
      <c r="F59" s="38"/>
      <c r="G59" s="38"/>
      <c r="H59" s="38"/>
      <c r="I59" s="38"/>
      <c r="J59" s="38"/>
      <c r="K59" s="38"/>
      <c r="L59" s="38"/>
    </row>
    <row r="61" spans="2:12" ht="13" x14ac:dyDescent="0.3">
      <c r="C61" s="12" t="s">
        <v>65</v>
      </c>
      <c r="G61" s="12" t="s">
        <v>66</v>
      </c>
      <c r="J61" s="12" t="s">
        <v>775</v>
      </c>
    </row>
    <row r="62" spans="2:12" ht="6" customHeight="1" x14ac:dyDescent="0.25"/>
    <row r="63" spans="2:12" s="79" customFormat="1" ht="16.149999999999999" customHeight="1" x14ac:dyDescent="0.3">
      <c r="B63" s="283"/>
      <c r="C63" s="181"/>
      <c r="D63" s="183" t="s">
        <v>67</v>
      </c>
      <c r="E63" s="182"/>
      <c r="F63" s="283"/>
      <c r="G63" s="273"/>
      <c r="H63" s="184" t="s">
        <v>68</v>
      </c>
      <c r="I63" s="283"/>
      <c r="J63" s="181"/>
      <c r="K63" s="184" t="s">
        <v>776</v>
      </c>
      <c r="L63" s="283"/>
    </row>
    <row r="64" spans="2:12" s="79" customFormat="1" ht="16.149999999999999" customHeight="1" x14ac:dyDescent="0.3">
      <c r="B64" s="283"/>
      <c r="C64" s="275"/>
      <c r="D64" s="183" t="s">
        <v>69</v>
      </c>
      <c r="E64" s="182"/>
      <c r="F64" s="283"/>
      <c r="G64" s="253"/>
      <c r="H64" s="184" t="s">
        <v>70</v>
      </c>
      <c r="I64" s="283"/>
      <c r="J64" s="349"/>
      <c r="K64" s="184" t="s">
        <v>777</v>
      </c>
      <c r="L64" s="283"/>
    </row>
    <row r="65" spans="2:12" s="79" customFormat="1" ht="16.149999999999999" customHeight="1" x14ac:dyDescent="0.3">
      <c r="B65" s="283"/>
      <c r="C65" s="180"/>
      <c r="D65" s="183" t="s">
        <v>71</v>
      </c>
      <c r="E65" s="182"/>
      <c r="F65" s="283"/>
      <c r="G65" s="274"/>
      <c r="H65" s="184" t="s">
        <v>72</v>
      </c>
      <c r="I65" s="283"/>
      <c r="J65" s="283"/>
      <c r="K65" s="283"/>
      <c r="L65" s="283"/>
    </row>
    <row r="66" spans="2:12" x14ac:dyDescent="0.25">
      <c r="D66" s="40"/>
    </row>
    <row r="67" spans="2:12" ht="13" x14ac:dyDescent="0.3">
      <c r="C67" s="12" t="s">
        <v>684</v>
      </c>
      <c r="G67" s="12" t="s">
        <v>685</v>
      </c>
    </row>
    <row r="68" spans="2:12" ht="6" customHeight="1" x14ac:dyDescent="0.25">
      <c r="D68" s="40"/>
      <c r="H68" s="40"/>
    </row>
    <row r="69" spans="2:12" s="79" customFormat="1" ht="16.149999999999999" customHeight="1" x14ac:dyDescent="0.3">
      <c r="B69" s="283"/>
      <c r="C69" s="329" t="s">
        <v>675</v>
      </c>
      <c r="D69" s="276" t="s">
        <v>680</v>
      </c>
      <c r="E69" s="283"/>
      <c r="F69" s="319"/>
      <c r="G69" s="276"/>
      <c r="H69" s="276"/>
      <c r="I69" s="283"/>
      <c r="J69" s="283"/>
      <c r="K69" s="283"/>
      <c r="L69" s="283"/>
    </row>
    <row r="70" spans="2:12" s="79" customFormat="1" ht="16.149999999999999" customHeight="1" x14ac:dyDescent="0.3">
      <c r="B70" s="283"/>
      <c r="C70" s="329" t="s">
        <v>75</v>
      </c>
      <c r="D70" s="276" t="s">
        <v>679</v>
      </c>
      <c r="E70" s="319"/>
      <c r="F70" s="319"/>
      <c r="G70" s="329" t="s">
        <v>75</v>
      </c>
      <c r="H70" s="276" t="s">
        <v>76</v>
      </c>
      <c r="I70" s="283"/>
      <c r="J70" s="283"/>
      <c r="K70" s="283"/>
      <c r="L70" s="283"/>
    </row>
    <row r="71" spans="2:12" s="319" customFormat="1" ht="16.149999999999999" customHeight="1" x14ac:dyDescent="0.3">
      <c r="C71" s="329" t="s">
        <v>494</v>
      </c>
      <c r="D71" s="184" t="s">
        <v>676</v>
      </c>
      <c r="E71" s="283"/>
      <c r="F71" s="79"/>
      <c r="G71" s="329" t="s">
        <v>686</v>
      </c>
      <c r="H71" s="184" t="s">
        <v>687</v>
      </c>
      <c r="K71" s="321"/>
    </row>
    <row r="72" spans="2:12" s="319" customFormat="1" ht="16.149999999999999" customHeight="1" x14ac:dyDescent="0.3">
      <c r="C72" s="329" t="s">
        <v>73</v>
      </c>
      <c r="D72" s="276" t="s">
        <v>677</v>
      </c>
      <c r="E72" s="283"/>
      <c r="G72" s="329" t="s">
        <v>73</v>
      </c>
      <c r="H72" s="276" t="s">
        <v>74</v>
      </c>
    </row>
    <row r="73" spans="2:12" s="319" customFormat="1" ht="16.149999999999999" customHeight="1" x14ac:dyDescent="0.3">
      <c r="C73" s="329" t="s">
        <v>674</v>
      </c>
      <c r="D73" s="276" t="s">
        <v>678</v>
      </c>
      <c r="E73" s="79"/>
      <c r="F73" s="79"/>
      <c r="G73" s="276"/>
      <c r="H73" s="276"/>
    </row>
    <row r="75" spans="2:12" ht="13.5" x14ac:dyDescent="0.35">
      <c r="B75" s="38" t="s">
        <v>77</v>
      </c>
      <c r="C75" s="38"/>
      <c r="D75" s="38"/>
      <c r="E75" s="38"/>
      <c r="F75" s="38"/>
      <c r="G75" s="38"/>
      <c r="H75" s="38"/>
      <c r="I75" s="38"/>
      <c r="J75" s="38"/>
      <c r="K75" s="38"/>
      <c r="L75" s="38"/>
    </row>
    <row r="77" spans="2:12" s="79" customFormat="1" ht="25.5" customHeight="1" x14ac:dyDescent="0.3">
      <c r="B77" s="283"/>
      <c r="C77" s="187" t="s">
        <v>78</v>
      </c>
      <c r="D77" s="188" t="s">
        <v>79</v>
      </c>
      <c r="E77" s="188"/>
      <c r="F77" s="188"/>
      <c r="G77" s="188"/>
      <c r="H77" s="188"/>
      <c r="I77" s="283"/>
      <c r="J77" s="283"/>
      <c r="K77" s="283"/>
      <c r="L77" s="283"/>
    </row>
    <row r="78" spans="2:12" s="79" customFormat="1" ht="16.149999999999999" customHeight="1" x14ac:dyDescent="0.3">
      <c r="B78" s="283"/>
      <c r="C78" s="185" t="s">
        <v>80</v>
      </c>
      <c r="D78" s="186" t="s">
        <v>81</v>
      </c>
      <c r="E78" s="186"/>
      <c r="F78" s="186"/>
      <c r="G78" s="186"/>
      <c r="H78" s="283"/>
      <c r="I78" s="283"/>
      <c r="J78" s="283"/>
      <c r="K78" s="283"/>
      <c r="L78" s="283"/>
    </row>
    <row r="79" spans="2:12" s="79" customFormat="1" ht="16.149999999999999" customHeight="1" x14ac:dyDescent="0.3">
      <c r="B79" s="283"/>
      <c r="C79" s="185" t="s">
        <v>82</v>
      </c>
      <c r="D79" s="186" t="s">
        <v>83</v>
      </c>
      <c r="E79" s="186"/>
      <c r="F79" s="186"/>
      <c r="G79" s="186" t="s">
        <v>84</v>
      </c>
      <c r="H79" s="283"/>
      <c r="I79" s="283"/>
      <c r="J79" s="283"/>
      <c r="K79" s="283"/>
      <c r="L79" s="283"/>
    </row>
    <row r="80" spans="2:12" s="79" customFormat="1" ht="16.149999999999999" customHeight="1" x14ac:dyDescent="0.3">
      <c r="B80" s="283"/>
      <c r="C80" s="185" t="s">
        <v>85</v>
      </c>
      <c r="D80" s="186" t="s">
        <v>86</v>
      </c>
      <c r="E80" s="186"/>
      <c r="F80" s="186"/>
      <c r="G80" s="186"/>
      <c r="H80" s="283"/>
      <c r="I80" s="283"/>
      <c r="J80" s="283"/>
      <c r="K80" s="283"/>
      <c r="L80" s="283"/>
    </row>
    <row r="81" spans="2:12" s="79" customFormat="1" ht="16.149999999999999" customHeight="1" x14ac:dyDescent="0.3">
      <c r="B81" s="283"/>
      <c r="C81" s="185" t="s">
        <v>87</v>
      </c>
      <c r="D81" s="186" t="s">
        <v>88</v>
      </c>
      <c r="E81" s="186"/>
      <c r="F81" s="186"/>
      <c r="G81" s="186"/>
      <c r="H81" s="283"/>
      <c r="I81" s="283"/>
      <c r="J81" s="283"/>
      <c r="K81" s="283"/>
      <c r="L81" s="283"/>
    </row>
    <row r="82" spans="2:12" s="79" customFormat="1" ht="16.149999999999999" customHeight="1" x14ac:dyDescent="0.3">
      <c r="B82" s="283"/>
      <c r="C82" s="185" t="s">
        <v>89</v>
      </c>
      <c r="D82" s="186" t="s">
        <v>90</v>
      </c>
      <c r="E82" s="186"/>
      <c r="F82" s="186"/>
      <c r="G82" s="186"/>
      <c r="H82" s="283"/>
      <c r="I82" s="283"/>
      <c r="J82" s="283"/>
      <c r="K82" s="283"/>
      <c r="L82" s="283"/>
    </row>
    <row r="83" spans="2:12" s="79" customFormat="1" ht="16.149999999999999" customHeight="1" x14ac:dyDescent="0.3">
      <c r="B83" s="283"/>
      <c r="C83" s="185" t="s">
        <v>91</v>
      </c>
      <c r="D83" s="186" t="s">
        <v>92</v>
      </c>
      <c r="E83" s="186"/>
      <c r="F83" s="186"/>
      <c r="G83" s="186" t="s">
        <v>93</v>
      </c>
      <c r="H83" s="283"/>
      <c r="I83" s="283"/>
      <c r="J83" s="283"/>
      <c r="K83" s="283"/>
      <c r="L83" s="283"/>
    </row>
    <row r="84" spans="2:12" s="79" customFormat="1" ht="16.149999999999999" customHeight="1" x14ac:dyDescent="0.3">
      <c r="B84" s="283"/>
      <c r="C84" s="185" t="s">
        <v>94</v>
      </c>
      <c r="D84" s="186" t="s">
        <v>95</v>
      </c>
      <c r="E84" s="186"/>
      <c r="F84" s="186"/>
      <c r="G84" s="186"/>
      <c r="H84" s="283"/>
      <c r="I84" s="283"/>
      <c r="J84" s="283"/>
      <c r="K84" s="283"/>
      <c r="L84" s="283"/>
    </row>
    <row r="85" spans="2:12" s="79" customFormat="1" ht="16.149999999999999" customHeight="1" x14ac:dyDescent="0.3">
      <c r="B85" s="283"/>
      <c r="C85" s="185" t="s">
        <v>96</v>
      </c>
      <c r="D85" s="186" t="s">
        <v>97</v>
      </c>
      <c r="E85" s="186"/>
      <c r="F85" s="186"/>
      <c r="G85" s="186"/>
      <c r="H85" s="283"/>
      <c r="I85" s="283"/>
      <c r="J85" s="283"/>
      <c r="K85" s="283"/>
      <c r="L85" s="283"/>
    </row>
    <row r="86" spans="2:12" s="79" customFormat="1" ht="16.149999999999999" customHeight="1" x14ac:dyDescent="0.3">
      <c r="B86" s="283"/>
      <c r="C86" s="185" t="s">
        <v>98</v>
      </c>
      <c r="D86" s="186" t="s">
        <v>99</v>
      </c>
      <c r="E86" s="186"/>
      <c r="F86" s="186"/>
      <c r="G86" s="186"/>
      <c r="H86" s="283"/>
      <c r="I86" s="283"/>
      <c r="J86" s="283"/>
      <c r="K86" s="283"/>
      <c r="L86" s="283"/>
    </row>
    <row r="87" spans="2:12" s="79" customFormat="1" ht="16.149999999999999" customHeight="1" x14ac:dyDescent="0.3">
      <c r="B87" s="283"/>
      <c r="C87" s="185" t="s">
        <v>100</v>
      </c>
      <c r="D87" s="186" t="s">
        <v>101</v>
      </c>
      <c r="E87" s="186"/>
      <c r="F87" s="186"/>
      <c r="G87" s="186"/>
      <c r="H87" s="283"/>
      <c r="I87" s="283"/>
      <c r="J87" s="283"/>
      <c r="K87" s="283"/>
      <c r="L87" s="283"/>
    </row>
    <row r="88" spans="2:12" s="79" customFormat="1" ht="16.149999999999999" customHeight="1" x14ac:dyDescent="0.3">
      <c r="B88" s="283"/>
      <c r="C88" s="185" t="s">
        <v>102</v>
      </c>
      <c r="D88" s="186" t="s">
        <v>103</v>
      </c>
      <c r="E88" s="186"/>
      <c r="F88" s="186"/>
      <c r="G88" s="186"/>
      <c r="H88" s="283"/>
      <c r="I88" s="283"/>
      <c r="J88" s="283"/>
      <c r="K88" s="283"/>
      <c r="L88" s="283"/>
    </row>
    <row r="89" spans="2:12" s="79" customFormat="1" ht="16.149999999999999" customHeight="1" x14ac:dyDescent="0.3">
      <c r="B89" s="283"/>
      <c r="C89" s="185" t="s">
        <v>104</v>
      </c>
      <c r="D89" s="186" t="s">
        <v>105</v>
      </c>
      <c r="E89" s="186"/>
      <c r="F89" s="186"/>
      <c r="G89" s="186"/>
      <c r="H89" s="283"/>
      <c r="I89" s="283"/>
      <c r="J89" s="283"/>
      <c r="K89" s="283"/>
      <c r="L89" s="283"/>
    </row>
    <row r="90" spans="2:12" s="79" customFormat="1" ht="16.149999999999999" customHeight="1" x14ac:dyDescent="0.3">
      <c r="B90" s="283"/>
      <c r="C90" s="185" t="s">
        <v>106</v>
      </c>
      <c r="D90" s="186" t="s">
        <v>107</v>
      </c>
      <c r="E90" s="186"/>
      <c r="F90" s="186"/>
      <c r="G90" s="186"/>
      <c r="H90" s="283"/>
      <c r="I90" s="283"/>
      <c r="J90" s="283"/>
      <c r="K90" s="283"/>
      <c r="L90" s="283"/>
    </row>
    <row r="91" spans="2:12" s="79" customFormat="1" ht="16.149999999999999" customHeight="1" x14ac:dyDescent="0.3">
      <c r="B91" s="283"/>
      <c r="C91" s="185" t="s">
        <v>108</v>
      </c>
      <c r="D91" s="186" t="s">
        <v>109</v>
      </c>
      <c r="E91" s="186"/>
      <c r="F91" s="186"/>
      <c r="G91" s="186"/>
      <c r="H91" s="283"/>
      <c r="I91" s="283"/>
      <c r="J91" s="283"/>
      <c r="K91" s="283"/>
      <c r="L91" s="283"/>
    </row>
    <row r="92" spans="2:12" s="79" customFormat="1" ht="16.149999999999999" customHeight="1" x14ac:dyDescent="0.3">
      <c r="B92" s="283"/>
      <c r="C92" s="185" t="s">
        <v>110</v>
      </c>
      <c r="D92" s="186" t="s">
        <v>111</v>
      </c>
      <c r="E92" s="186"/>
      <c r="F92" s="186"/>
      <c r="G92" s="186"/>
      <c r="H92" s="283"/>
      <c r="I92" s="283"/>
      <c r="J92" s="283"/>
      <c r="K92" s="283"/>
      <c r="L92" s="283"/>
    </row>
    <row r="93" spans="2:12" s="79" customFormat="1" ht="16.149999999999999" customHeight="1" x14ac:dyDescent="0.3">
      <c r="B93" s="283"/>
      <c r="C93" s="185" t="s">
        <v>112</v>
      </c>
      <c r="D93" s="186" t="s">
        <v>113</v>
      </c>
      <c r="E93" s="186"/>
      <c r="F93" s="186"/>
      <c r="G93" s="186"/>
      <c r="H93" s="283"/>
      <c r="I93" s="283"/>
      <c r="J93" s="283"/>
      <c r="K93" s="283"/>
      <c r="L93" s="283"/>
    </row>
    <row r="94" spans="2:12" s="79" customFormat="1" ht="16.149999999999999" customHeight="1" x14ac:dyDescent="0.3">
      <c r="B94" s="283"/>
      <c r="C94" s="189" t="s">
        <v>114</v>
      </c>
      <c r="D94" s="190" t="s">
        <v>115</v>
      </c>
      <c r="E94" s="190"/>
      <c r="F94" s="190"/>
      <c r="G94" s="190"/>
      <c r="H94" s="190"/>
      <c r="I94" s="283"/>
      <c r="J94" s="283"/>
      <c r="K94" s="283"/>
      <c r="L94" s="283"/>
    </row>
    <row r="95" spans="2:12" s="79" customFormat="1" ht="16.149999999999999" customHeight="1" x14ac:dyDescent="0.3">
      <c r="B95" s="283"/>
      <c r="C95" s="185" t="s">
        <v>116</v>
      </c>
      <c r="D95" s="186" t="s">
        <v>117</v>
      </c>
      <c r="E95" s="186"/>
      <c r="F95" s="186"/>
      <c r="G95" s="186"/>
      <c r="H95" s="283"/>
      <c r="I95" s="283"/>
      <c r="J95" s="283"/>
      <c r="K95" s="283"/>
      <c r="L95" s="283"/>
    </row>
    <row r="96" spans="2:12" s="79" customFormat="1" ht="16.149999999999999" customHeight="1" x14ac:dyDescent="0.3">
      <c r="B96" s="283"/>
      <c r="C96" s="189" t="s">
        <v>118</v>
      </c>
      <c r="D96" s="190" t="s">
        <v>92</v>
      </c>
      <c r="E96" s="190"/>
      <c r="F96" s="190"/>
      <c r="G96" s="190" t="s">
        <v>119</v>
      </c>
      <c r="H96" s="190"/>
      <c r="I96" s="283"/>
      <c r="J96" s="283"/>
      <c r="K96" s="283"/>
      <c r="L96" s="283"/>
    </row>
    <row r="97" spans="2:12" s="79" customFormat="1" ht="16.149999999999999" customHeight="1" x14ac:dyDescent="0.3">
      <c r="B97" s="283"/>
      <c r="C97" s="185" t="s">
        <v>120</v>
      </c>
      <c r="D97" s="186" t="s">
        <v>90</v>
      </c>
      <c r="E97" s="186"/>
      <c r="F97" s="186"/>
      <c r="G97" s="186" t="s">
        <v>121</v>
      </c>
      <c r="H97" s="283"/>
      <c r="I97" s="283"/>
      <c r="J97" s="283"/>
      <c r="K97" s="283"/>
      <c r="L97" s="283"/>
    </row>
    <row r="98" spans="2:12" s="79" customFormat="1" ht="16.149999999999999" customHeight="1" x14ac:dyDescent="0.3">
      <c r="B98" s="283"/>
      <c r="C98" s="185" t="s">
        <v>122</v>
      </c>
      <c r="D98" s="186" t="s">
        <v>123</v>
      </c>
      <c r="E98" s="186"/>
      <c r="F98" s="186"/>
      <c r="G98" s="186" t="s">
        <v>121</v>
      </c>
      <c r="H98" s="283"/>
      <c r="I98" s="283"/>
      <c r="J98" s="283"/>
      <c r="K98" s="283"/>
      <c r="L98" s="283"/>
    </row>
    <row r="100" spans="2:12" ht="13.5" x14ac:dyDescent="0.35">
      <c r="B100" s="38" t="s">
        <v>124</v>
      </c>
      <c r="C100" s="38"/>
      <c r="D100" s="38"/>
      <c r="E100" s="38"/>
      <c r="F100" s="38"/>
      <c r="G100" s="38"/>
      <c r="H100" s="38"/>
      <c r="I100" s="38"/>
      <c r="J100" s="38"/>
      <c r="K100" s="38"/>
      <c r="L100" s="38"/>
    </row>
    <row r="102" spans="2:12" s="79" customFormat="1" ht="16.149999999999999" customHeight="1" x14ac:dyDescent="0.3">
      <c r="B102" s="283"/>
      <c r="C102" s="191" t="s">
        <v>125</v>
      </c>
      <c r="D102" s="191" t="s">
        <v>126</v>
      </c>
      <c r="E102" s="188"/>
      <c r="F102" s="188"/>
      <c r="G102" s="188"/>
      <c r="H102" s="188"/>
      <c r="I102" s="283"/>
      <c r="J102" s="283"/>
      <c r="K102" s="283"/>
      <c r="L102" s="283"/>
    </row>
    <row r="103" spans="2:12" s="79" customFormat="1" ht="16.149999999999999" customHeight="1" x14ac:dyDescent="0.3">
      <c r="B103" s="283"/>
      <c r="C103" s="207" t="s">
        <v>127</v>
      </c>
      <c r="D103" s="283" t="s">
        <v>128</v>
      </c>
      <c r="E103" s="283"/>
      <c r="F103" s="283"/>
      <c r="G103" s="283"/>
      <c r="H103" s="283"/>
      <c r="I103" s="283"/>
      <c r="J103" s="283"/>
      <c r="K103" s="283"/>
      <c r="L103" s="283"/>
    </row>
    <row r="104" spans="2:12" s="79" customFormat="1" ht="16.149999999999999" customHeight="1" x14ac:dyDescent="0.3">
      <c r="B104" s="283"/>
      <c r="C104" s="207" t="s">
        <v>129</v>
      </c>
      <c r="D104" s="283" t="s">
        <v>130</v>
      </c>
      <c r="E104" s="283"/>
      <c r="F104" s="283"/>
      <c r="G104" s="283"/>
      <c r="H104" s="283"/>
      <c r="I104" s="283"/>
      <c r="J104" s="283"/>
      <c r="K104" s="283"/>
      <c r="L104" s="283"/>
    </row>
    <row r="105" spans="2:12" s="79" customFormat="1" ht="16.149999999999999" customHeight="1" x14ac:dyDescent="0.3">
      <c r="B105" s="283"/>
      <c r="C105" s="207" t="s">
        <v>131</v>
      </c>
      <c r="D105" s="283" t="s">
        <v>132</v>
      </c>
      <c r="E105" s="283"/>
      <c r="F105" s="283"/>
      <c r="G105" s="283"/>
      <c r="H105" s="283"/>
      <c r="I105" s="283"/>
      <c r="J105" s="283"/>
      <c r="K105" s="283"/>
      <c r="L105" s="283"/>
    </row>
    <row r="106" spans="2:12" s="79" customFormat="1" ht="16.149999999999999" customHeight="1" x14ac:dyDescent="0.3">
      <c r="B106" s="283"/>
      <c r="C106" s="207" t="s">
        <v>133</v>
      </c>
      <c r="D106" s="283" t="s">
        <v>134</v>
      </c>
      <c r="E106" s="283"/>
      <c r="F106" s="283"/>
      <c r="G106" s="283"/>
      <c r="H106" s="283"/>
      <c r="I106" s="283"/>
      <c r="J106" s="283"/>
      <c r="K106" s="283"/>
      <c r="L106" s="283"/>
    </row>
    <row r="107" spans="2:12" s="79" customFormat="1" ht="16.149999999999999" customHeight="1" x14ac:dyDescent="0.3">
      <c r="B107" s="283"/>
      <c r="C107" s="207" t="s">
        <v>135</v>
      </c>
      <c r="D107" s="283" t="s">
        <v>136</v>
      </c>
      <c r="E107" s="283"/>
      <c r="F107" s="283"/>
      <c r="G107" s="283"/>
      <c r="H107" s="283"/>
      <c r="I107" s="283"/>
      <c r="J107" s="283"/>
      <c r="K107" s="283"/>
      <c r="L107" s="283"/>
    </row>
    <row r="108" spans="2:12" s="79" customFormat="1" ht="16.149999999999999" customHeight="1" x14ac:dyDescent="0.3">
      <c r="B108" s="283"/>
      <c r="C108" s="207" t="s">
        <v>137</v>
      </c>
      <c r="D108" s="283" t="s">
        <v>138</v>
      </c>
      <c r="E108" s="283"/>
      <c r="F108" s="283"/>
      <c r="G108" s="283"/>
      <c r="H108" s="283"/>
      <c r="I108" s="283"/>
      <c r="J108" s="283"/>
      <c r="K108" s="283"/>
      <c r="L108" s="283"/>
    </row>
    <row r="109" spans="2:12" s="79" customFormat="1" ht="16.149999999999999" customHeight="1" x14ac:dyDescent="0.3">
      <c r="B109" s="283"/>
      <c r="C109" s="207" t="s">
        <v>139</v>
      </c>
      <c r="D109" s="283" t="s">
        <v>140</v>
      </c>
      <c r="E109" s="283"/>
      <c r="F109" s="283"/>
      <c r="G109" s="283"/>
      <c r="H109" s="283"/>
      <c r="I109" s="283"/>
      <c r="J109" s="283"/>
      <c r="K109" s="283"/>
      <c r="L109" s="283"/>
    </row>
    <row r="110" spans="2:12" s="79" customFormat="1" ht="16.149999999999999" customHeight="1" x14ac:dyDescent="0.3">
      <c r="B110" s="283"/>
      <c r="C110" s="207" t="s">
        <v>141</v>
      </c>
      <c r="D110" s="283" t="s">
        <v>142</v>
      </c>
      <c r="E110" s="283"/>
      <c r="F110" s="283"/>
      <c r="G110" s="283"/>
      <c r="H110" s="283"/>
      <c r="I110" s="283"/>
      <c r="J110" s="283"/>
      <c r="K110" s="283"/>
      <c r="L110" s="283"/>
    </row>
    <row r="111" spans="2:12" s="79" customFormat="1" ht="16.149999999999999" customHeight="1" x14ac:dyDescent="0.3">
      <c r="B111" s="283"/>
      <c r="C111" s="207" t="s">
        <v>143</v>
      </c>
      <c r="D111" s="283" t="s">
        <v>144</v>
      </c>
      <c r="E111" s="283"/>
      <c r="F111" s="283"/>
      <c r="G111" s="283"/>
      <c r="H111" s="283"/>
      <c r="I111" s="283"/>
      <c r="J111" s="283"/>
      <c r="K111" s="283"/>
      <c r="L111" s="283"/>
    </row>
    <row r="112" spans="2:12" s="79" customFormat="1" ht="16.149999999999999" customHeight="1" x14ac:dyDescent="0.3">
      <c r="B112" s="283"/>
      <c r="C112" s="207" t="s">
        <v>145</v>
      </c>
      <c r="D112" s="283" t="s">
        <v>146</v>
      </c>
      <c r="E112" s="283"/>
      <c r="F112" s="283"/>
      <c r="G112" s="283"/>
      <c r="H112" s="283"/>
      <c r="I112" s="283"/>
      <c r="J112" s="283"/>
      <c r="K112" s="283"/>
      <c r="L112" s="283"/>
    </row>
    <row r="113" spans="2:12" s="79" customFormat="1" ht="16.149999999999999" customHeight="1" x14ac:dyDescent="0.3">
      <c r="B113" s="283"/>
      <c r="C113" s="207" t="s">
        <v>147</v>
      </c>
      <c r="D113" s="283" t="s">
        <v>148</v>
      </c>
      <c r="E113" s="283"/>
      <c r="F113" s="283"/>
      <c r="G113" s="283"/>
      <c r="H113" s="283"/>
      <c r="I113" s="283"/>
      <c r="J113" s="283"/>
      <c r="K113" s="283"/>
      <c r="L113" s="283"/>
    </row>
    <row r="115" spans="2:12" ht="13.5" x14ac:dyDescent="0.35">
      <c r="B115" s="9" t="s">
        <v>149</v>
      </c>
      <c r="C115" s="9"/>
      <c r="D115" s="9"/>
      <c r="E115" s="9"/>
      <c r="F115" s="9"/>
      <c r="G115" s="9"/>
      <c r="H115" s="9"/>
      <c r="I115" s="9"/>
      <c r="J115" s="9"/>
      <c r="K115" s="9"/>
      <c r="L115" s="9"/>
    </row>
    <row r="117" spans="2:12" s="79" customFormat="1" ht="16.149999999999999" customHeight="1" x14ac:dyDescent="0.3">
      <c r="B117" s="283"/>
      <c r="C117" s="283" t="s">
        <v>150</v>
      </c>
      <c r="D117" s="283"/>
      <c r="E117" s="283"/>
      <c r="F117" s="227" t="s">
        <v>151</v>
      </c>
      <c r="G117" s="283"/>
      <c r="H117" s="283"/>
      <c r="I117" s="283"/>
      <c r="J117" s="283"/>
      <c r="K117" s="283"/>
      <c r="L117" s="283"/>
    </row>
    <row r="118" spans="2:12" s="79" customFormat="1" ht="16.149999999999999" customHeight="1" x14ac:dyDescent="0.3">
      <c r="B118" s="283"/>
      <c r="C118" s="283" t="s">
        <v>152</v>
      </c>
      <c r="D118" s="283"/>
      <c r="E118" s="283"/>
      <c r="F118" s="117" t="str">
        <f xml:space="preserve"> VALUE( LEFT( Year, 4 ) - 1 ) &amp; "-" &amp; VALUE( RIGHT( Year, 2 ) - 1 )</f>
        <v>2018-19</v>
      </c>
      <c r="G118" s="283"/>
      <c r="H118" s="283"/>
      <c r="I118" s="283"/>
      <c r="J118" s="283"/>
      <c r="K118" s="283"/>
      <c r="L118" s="283"/>
    </row>
    <row r="120" spans="2:12" ht="13" x14ac:dyDescent="0.3">
      <c r="B120" s="17" t="s">
        <v>25</v>
      </c>
      <c r="C120" s="17"/>
      <c r="D120" s="17"/>
      <c r="E120" s="17"/>
      <c r="F120" s="17"/>
      <c r="G120" s="17"/>
      <c r="H120" s="17"/>
      <c r="I120" s="17"/>
      <c r="J120" s="17"/>
      <c r="K120" s="17"/>
      <c r="L120" s="17"/>
    </row>
  </sheetData>
  <mergeCells count="21">
    <mergeCell ref="C46:D46"/>
    <mergeCell ref="C47:D47"/>
    <mergeCell ref="C48:D48"/>
    <mergeCell ref="C49:D49"/>
    <mergeCell ref="C52:D52"/>
    <mergeCell ref="C57:D57"/>
    <mergeCell ref="C54:D54"/>
    <mergeCell ref="C55:D55"/>
    <mergeCell ref="C56:D56"/>
    <mergeCell ref="C34:D34"/>
    <mergeCell ref="C35:D35"/>
    <mergeCell ref="C36:D36"/>
    <mergeCell ref="C37:D37"/>
    <mergeCell ref="C38:D38"/>
    <mergeCell ref="C39:D39"/>
    <mergeCell ref="C40:D40"/>
    <mergeCell ref="C50:D50"/>
    <mergeCell ref="C51:D51"/>
    <mergeCell ref="C53:D53"/>
    <mergeCell ref="C44:D44"/>
    <mergeCell ref="C45:D4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sheetPr>
  <dimension ref="B2:P25"/>
  <sheetViews>
    <sheetView showGridLines="0" zoomScaleNormal="100" workbookViewId="0"/>
  </sheetViews>
  <sheetFormatPr defaultColWidth="9" defaultRowHeight="12.5" x14ac:dyDescent="0.3"/>
  <cols>
    <col min="1" max="1" width="2.58203125" style="79" customWidth="1"/>
    <col min="2" max="2" width="22" style="79" bestFit="1" customWidth="1"/>
    <col min="3" max="8" width="10.75" style="79" customWidth="1"/>
    <col min="9" max="9" width="10.75" style="280" customWidth="1"/>
    <col min="10" max="13" width="10.75" style="79" customWidth="1"/>
    <col min="14" max="14" width="9" style="79" customWidth="1"/>
    <col min="15" max="15" width="3.58203125" style="79" customWidth="1"/>
    <col min="16" max="16" width="19.25" style="79" bestFit="1" customWidth="1"/>
    <col min="17" max="16384" width="9" style="79"/>
  </cols>
  <sheetData>
    <row r="2" spans="2:16" s="214" customFormat="1" ht="15" x14ac:dyDescent="0.3">
      <c r="B2" s="217" t="s">
        <v>153</v>
      </c>
      <c r="C2" s="218"/>
      <c r="D2" s="218"/>
      <c r="E2" s="218"/>
      <c r="F2" s="218"/>
      <c r="G2" s="218"/>
      <c r="H2" s="218"/>
      <c r="I2" s="218"/>
      <c r="J2" s="218"/>
      <c r="K2" s="250" t="s">
        <v>154</v>
      </c>
      <c r="L2" s="218"/>
      <c r="M2" s="218"/>
      <c r="N2" s="283"/>
      <c r="O2" s="283"/>
      <c r="P2" s="283"/>
    </row>
    <row r="3" spans="2:16" s="214" customFormat="1" x14ac:dyDescent="0.3">
      <c r="B3" s="283"/>
      <c r="C3" s="283"/>
      <c r="D3" s="283"/>
      <c r="E3" s="283"/>
      <c r="F3" s="283"/>
      <c r="G3" s="283"/>
      <c r="H3" s="283"/>
      <c r="I3" s="283"/>
      <c r="J3" s="283"/>
      <c r="K3" s="283"/>
      <c r="L3" s="283"/>
      <c r="M3" s="283"/>
      <c r="N3" s="283"/>
      <c r="O3" s="283"/>
      <c r="P3" s="283"/>
    </row>
    <row r="4" spans="2:16" ht="20.25" customHeight="1" thickBot="1" x14ac:dyDescent="0.35">
      <c r="B4" s="284"/>
      <c r="C4" s="400" t="s">
        <v>155</v>
      </c>
      <c r="D4" s="401"/>
      <c r="E4" s="398" t="s">
        <v>156</v>
      </c>
      <c r="F4" s="399"/>
      <c r="G4" s="399"/>
      <c r="H4" s="399"/>
      <c r="I4" s="399"/>
      <c r="J4" s="399"/>
      <c r="K4" s="399"/>
      <c r="L4" s="399"/>
      <c r="M4" s="399"/>
      <c r="N4" s="283"/>
      <c r="O4" s="283"/>
      <c r="P4" s="283"/>
    </row>
    <row r="5" spans="2:16" ht="41" thickTop="1" x14ac:dyDescent="0.3">
      <c r="B5" s="264"/>
      <c r="C5" s="265" t="s">
        <v>157</v>
      </c>
      <c r="D5" s="266" t="s">
        <v>158</v>
      </c>
      <c r="E5" s="267" t="s">
        <v>159</v>
      </c>
      <c r="F5" s="268" t="s">
        <v>160</v>
      </c>
      <c r="G5" s="268" t="s">
        <v>161</v>
      </c>
      <c r="H5" s="268" t="s">
        <v>162</v>
      </c>
      <c r="I5" s="268" t="s">
        <v>163</v>
      </c>
      <c r="J5" s="268" t="s">
        <v>164</v>
      </c>
      <c r="K5" s="268" t="s">
        <v>165</v>
      </c>
      <c r="L5" s="268" t="s">
        <v>166</v>
      </c>
      <c r="M5" s="268" t="s">
        <v>167</v>
      </c>
      <c r="N5" s="283"/>
      <c r="O5" s="283"/>
      <c r="P5" s="283"/>
    </row>
    <row r="6" spans="2:16" ht="16.5" customHeight="1" x14ac:dyDescent="0.3">
      <c r="B6" s="245" t="s">
        <v>168</v>
      </c>
      <c r="C6" s="182"/>
      <c r="D6" s="182"/>
      <c r="E6" s="182"/>
      <c r="F6" s="182"/>
      <c r="G6" s="182"/>
      <c r="H6" s="182"/>
      <c r="I6" s="182"/>
      <c r="J6" s="182"/>
      <c r="K6" s="182"/>
      <c r="L6" s="182"/>
      <c r="M6" s="244"/>
      <c r="N6" s="283"/>
    </row>
    <row r="7" spans="2:16" ht="16.5" customHeight="1" thickBot="1" x14ac:dyDescent="0.35">
      <c r="B7" s="270" t="s">
        <v>88</v>
      </c>
      <c r="C7" s="222" t="str">
        <f xml:space="preserve"> IFERROR( INDEX( 'Map &amp; Key'!$C$69:$C$73, CALCS│Summary!I8 + 3 ), "-" )</f>
        <v>-</v>
      </c>
      <c r="D7" s="221" t="str">
        <f xml:space="preserve"> IFERROR( INDEX( 'Map &amp; Key'!$C$69:$C$73, CALCS│Summary!P8 + 3 ), "-" )</f>
        <v>-</v>
      </c>
      <c r="E7" s="328" t="str">
        <f xml:space="preserve"> IFERROR( IF( ABS( CALCS│Summary!I36 ) &lt;= 0.01, "", IF( CALCS│Summary!I36 &lt; 0, 'Map &amp; Key'!$C$69, 'Map &amp; Key'!$C$72 ) ), "-" )</f>
        <v/>
      </c>
      <c r="F7" s="282" t="str">
        <f xml:space="preserve"> IFERROR( INDEX( 'Map &amp; Key'!$C$69:$C$73, CALCS│Summary!J65 + 3 ), "-" )</f>
        <v>▲</v>
      </c>
      <c r="G7" s="282" t="str">
        <f xml:space="preserve"> IFERROR( INDEX( 'Map &amp; Key'!$C$69:$C$73, CALCS│Summary!J94 + 3 ), "-" )</f>
        <v>-</v>
      </c>
      <c r="H7" s="282" t="str">
        <f xml:space="preserve"> IFERROR( INDEX( 'Map &amp; Key'!$C$69:$C$73, CALCS│Summary!J123 + 3 ), "-" )</f>
        <v>-</v>
      </c>
      <c r="I7" s="282" t="str">
        <f xml:space="preserve"> IFERROR( INDEX( 'Map &amp; Key'!$C$69:$C$73, CALCS│Summary!Q123 + 3 ), "-" )</f>
        <v>-</v>
      </c>
      <c r="J7" s="282" t="str">
        <f xml:space="preserve"> IFERROR( INDEX( 'Map &amp; Key'!$C$69:$C$73, CALCS│Summary!X123 + 3 ), "-" )</f>
        <v>▲</v>
      </c>
      <c r="K7" s="282" t="str">
        <f xml:space="preserve"> IFERROR( INDEX( 'Map &amp; Key'!$C$69:$C$73, CALCS│Summary!AE123 + 3 ), "-" )</f>
        <v>▲</v>
      </c>
      <c r="L7" s="282" t="str">
        <f xml:space="preserve"> IFERROR( INDEX( 'Map &amp; Key'!$C$69:$C$73, CALCS│Summary!AL123 + 3 ), "-" )</f>
        <v>-</v>
      </c>
      <c r="M7" s="282" t="str">
        <f xml:space="preserve"> IFERROR( INDEX( 'Map &amp; Key'!$C$69:$C$73, CALCS│Summary!AS123 + 3 ), "-" )</f>
        <v>-</v>
      </c>
      <c r="N7" s="283"/>
      <c r="O7" s="402" t="s">
        <v>169</v>
      </c>
      <c r="P7" s="403"/>
    </row>
    <row r="8" spans="2:16" ht="16.5" customHeight="1" thickTop="1" x14ac:dyDescent="0.3">
      <c r="B8" s="270" t="s">
        <v>101</v>
      </c>
      <c r="C8" s="222" t="str">
        <f xml:space="preserve"> IFERROR( INDEX( 'Map &amp; Key'!$C$69:$C$73, CALCS│Summary!I9 + 3 ), "-" )</f>
        <v>-</v>
      </c>
      <c r="D8" s="221" t="str">
        <f xml:space="preserve"> IFERROR( INDEX( 'Map &amp; Key'!$C$69:$C$73, CALCS│Summary!P9 + 3 ), "-" )</f>
        <v>-</v>
      </c>
      <c r="E8" s="328" t="str">
        <f xml:space="preserve"> IFERROR( IF( ABS( CALCS│Summary!I37 ) &lt;= 0.01, "", IF( CALCS│Summary!I37 &lt; 0, 'Map &amp; Key'!$C$69, 'Map &amp; Key'!$C$72 ) ), "-" )</f>
        <v/>
      </c>
      <c r="F8" s="282" t="str">
        <f xml:space="preserve"> IFERROR( INDEX( 'Map &amp; Key'!$C$69:$C$73, CALCS│Summary!J66 + 3 ), "-" )</f>
        <v>-</v>
      </c>
      <c r="G8" s="282" t="str">
        <f xml:space="preserve"> IFERROR( INDEX( 'Map &amp; Key'!$C$69:$C$73, CALCS│Summary!J95 + 3 ), "-" )</f>
        <v>▲</v>
      </c>
      <c r="H8" s="282" t="str">
        <f xml:space="preserve"> IFERROR( INDEX( 'Map &amp; Key'!$C$69:$C$73, CALCS│Summary!J124 + 3 ), "-" )</f>
        <v>-</v>
      </c>
      <c r="I8" s="282" t="str">
        <f xml:space="preserve"> IFERROR( INDEX( 'Map &amp; Key'!$C$69:$C$73, CALCS│Summary!Q124 + 3 ), "-" )</f>
        <v>-</v>
      </c>
      <c r="J8" s="282" t="str">
        <f xml:space="preserve"> IFERROR( INDEX( 'Map &amp; Key'!$C$69:$C$73, CALCS│Summary!X124 + 3 ), "-" )</f>
        <v>▼</v>
      </c>
      <c r="K8" s="282" t="str">
        <f xml:space="preserve"> IFERROR( INDEX( 'Map &amp; Key'!$C$69:$C$73, CALCS│Summary!AE124 + 3 ), "-" )</f>
        <v>▼</v>
      </c>
      <c r="L8" s="282" t="str">
        <f xml:space="preserve"> IFERROR( INDEX( 'Map &amp; Key'!$C$69:$C$73, CALCS│Summary!AL124 + 3 ), "-" )</f>
        <v>-</v>
      </c>
      <c r="M8" s="282" t="str">
        <f xml:space="preserve"> IFERROR( INDEX( 'Map &amp; Key'!$C$69:$C$73, CALCS│Summary!AS124 + 3 ), "-" )</f>
        <v>-</v>
      </c>
      <c r="N8" s="283"/>
      <c r="O8" s="256"/>
      <c r="P8" s="269" t="s">
        <v>67</v>
      </c>
    </row>
    <row r="9" spans="2:16" ht="16.5" customHeight="1" x14ac:dyDescent="0.3">
      <c r="B9" s="270" t="s">
        <v>107</v>
      </c>
      <c r="C9" s="222" t="str">
        <f xml:space="preserve"> IFERROR( INDEX( 'Map &amp; Key'!$C$69:$C$73, CALCS│Summary!I10 + 3 ), "-" )</f>
        <v>-</v>
      </c>
      <c r="D9" s="221" t="str">
        <f xml:space="preserve"> IFERROR( INDEX( 'Map &amp; Key'!$C$69:$C$73, CALCS│Summary!P10 + 3 ), "-" )</f>
        <v>-</v>
      </c>
      <c r="E9" s="328" t="str">
        <f xml:space="preserve"> IFERROR( IF( ABS( CALCS│Summary!I38 ) &lt;= 0.01, "", IF( CALCS│Summary!I38 &lt; 0, 'Map &amp; Key'!$C$69, 'Map &amp; Key'!$C$72 ) ), "-" )</f>
        <v/>
      </c>
      <c r="F9" s="282" t="str">
        <f xml:space="preserve"> IFERROR( INDEX( 'Map &amp; Key'!$C$69:$C$73, CALCS│Summary!J67 + 3 ), "-" )</f>
        <v>▲</v>
      </c>
      <c r="G9" s="282" t="str">
        <f xml:space="preserve"> IFERROR( INDEX( 'Map &amp; Key'!$C$69:$C$73, CALCS│Summary!J96 + 3 ), "-" )</f>
        <v>▲▲</v>
      </c>
      <c r="H9" s="282" t="str">
        <f xml:space="preserve"> IFERROR( INDEX( 'Map &amp; Key'!$C$69:$C$73, CALCS│Summary!J125 + 3 ), "-" )</f>
        <v>▲</v>
      </c>
      <c r="I9" s="282" t="str">
        <f xml:space="preserve"> IFERROR( INDEX( 'Map &amp; Key'!$C$69:$C$73, CALCS│Summary!Q125 + 3 ), "-" )</f>
        <v>-</v>
      </c>
      <c r="J9" s="282" t="str">
        <f xml:space="preserve"> IFERROR( INDEX( 'Map &amp; Key'!$C$69:$C$73, CALCS│Summary!X125 + 3 ), "-" )</f>
        <v>▲</v>
      </c>
      <c r="K9" s="282" t="str">
        <f xml:space="preserve"> IFERROR( INDEX( 'Map &amp; Key'!$C$69:$C$73, CALCS│Summary!AE125 + 3 ), "-" )</f>
        <v>▲</v>
      </c>
      <c r="L9" s="282" t="str">
        <f xml:space="preserve"> IFERROR( INDEX( 'Map &amp; Key'!$C$69:$C$73, CALCS│Summary!AL125 + 3 ), "-" )</f>
        <v>-</v>
      </c>
      <c r="M9" s="282" t="str">
        <f xml:space="preserve"> IFERROR( INDEX( 'Map &amp; Key'!$C$69:$C$73, CALCS│Summary!AS125 + 3 ), "-" )</f>
        <v>-</v>
      </c>
      <c r="O9" s="254"/>
      <c r="P9" s="258" t="s">
        <v>69</v>
      </c>
    </row>
    <row r="10" spans="2:16" ht="16.5" customHeight="1" x14ac:dyDescent="0.3">
      <c r="B10" s="270" t="s">
        <v>115</v>
      </c>
      <c r="C10" s="222" t="str">
        <f xml:space="preserve"> IFERROR( INDEX( 'Map &amp; Key'!$C$69:$C$73, CALCS│Summary!I11 + 3 ), "-" )</f>
        <v>▲</v>
      </c>
      <c r="D10" s="221" t="str">
        <f xml:space="preserve"> IFERROR( INDEX( 'Map &amp; Key'!$C$69:$C$73, CALCS│Summary!P11 + 3 ), "-" )</f>
        <v>-</v>
      </c>
      <c r="E10" s="328" t="str">
        <f xml:space="preserve"> IFERROR( IF( ABS( CALCS│Summary!I39 ) &lt;= 0.01, "", IF( CALCS│Summary!I39 &lt; 0, 'Map &amp; Key'!$C$69, 'Map &amp; Key'!$C$72 ) ), "-" )</f>
        <v/>
      </c>
      <c r="F10" s="282" t="str">
        <f xml:space="preserve"> IFERROR( INDEX( 'Map &amp; Key'!$C$69:$C$73, CALCS│Summary!J68 + 3 ), "-" )</f>
        <v>▲</v>
      </c>
      <c r="G10" s="108" t="str">
        <f xml:space="preserve"> IFERROR( INDEX( 'Map &amp; Key'!$C$69:$C$73, CALCS│Summary!J97 + 3 ), "-" )</f>
        <v>▲</v>
      </c>
      <c r="H10" s="282" t="str">
        <f xml:space="preserve"> IFERROR( INDEX( 'Map &amp; Key'!$C$69:$C$73, CALCS│Summary!J126 + 3 ), "-" )</f>
        <v>-</v>
      </c>
      <c r="I10" s="282" t="str">
        <f xml:space="preserve"> IFERROR( INDEX( 'Map &amp; Key'!$C$69:$C$73, CALCS│Summary!Q126 + 3 ), "-" )</f>
        <v>-</v>
      </c>
      <c r="J10" s="282" t="str">
        <f xml:space="preserve"> IFERROR( INDEX( 'Map &amp; Key'!$C$69:$C$73, CALCS│Summary!X126 + 3 ), "-" )</f>
        <v>-</v>
      </c>
      <c r="K10" s="282" t="str">
        <f xml:space="preserve"> IFERROR( INDEX( 'Map &amp; Key'!$C$69:$C$73, CALCS│Summary!AE126 + 3 ), "-" )</f>
        <v>-</v>
      </c>
      <c r="L10" s="282" t="str">
        <f xml:space="preserve"> IFERROR( INDEX( 'Map &amp; Key'!$C$69:$C$73, CALCS│Summary!AL126 + 3 ), "-" )</f>
        <v>-</v>
      </c>
      <c r="M10" s="282" t="str">
        <f xml:space="preserve"> IFERROR( INDEX( 'Map &amp; Key'!$C$69:$C$73, CALCS│Summary!AS126 + 3 ), "-" )</f>
        <v>-</v>
      </c>
      <c r="O10" s="255"/>
      <c r="P10" s="258" t="s">
        <v>71</v>
      </c>
    </row>
    <row r="11" spans="2:16" ht="16.5" customHeight="1" x14ac:dyDescent="0.3">
      <c r="B11" s="245" t="s">
        <v>170</v>
      </c>
      <c r="C11" s="182"/>
      <c r="D11" s="182"/>
      <c r="E11" s="182"/>
      <c r="F11" s="182"/>
      <c r="G11" s="182"/>
      <c r="H11" s="182"/>
      <c r="I11" s="182"/>
      <c r="J11" s="182"/>
      <c r="K11" s="182"/>
      <c r="L11" s="182"/>
      <c r="M11" s="244"/>
      <c r="N11" s="283"/>
      <c r="O11" s="333" t="s">
        <v>674</v>
      </c>
      <c r="P11" s="258" t="s">
        <v>692</v>
      </c>
    </row>
    <row r="12" spans="2:16" ht="16.5" customHeight="1" x14ac:dyDescent="0.3">
      <c r="B12" s="270" t="s">
        <v>81</v>
      </c>
      <c r="C12" s="220" t="str">
        <f xml:space="preserve"> IFERROR( INDEX( 'Map &amp; Key'!$C$69:$C$73, CALCS│Summary!I13 + 3 ), "-" )</f>
        <v>-</v>
      </c>
      <c r="D12" s="221" t="str">
        <f xml:space="preserve"> IFERROR( INDEX( 'Map &amp; Key'!$C$69:$C$73, CALCS│Summary!P13 + 3 ), "-" )</f>
        <v>-</v>
      </c>
      <c r="E12" s="219" t="str">
        <f xml:space="preserve"> IFERROR( IF( ABS( CALCS│Summary!I41 ) &lt;= 0.01, "", IF( CALCS│Summary!I41 &lt; 0, 'Map &amp; Key'!$C$69, 'Map &amp; Key'!$C$72 ) ), "-" )</f>
        <v/>
      </c>
      <c r="F12" s="108" t="str">
        <f xml:space="preserve"> IFERROR( INDEX( 'Map &amp; Key'!$C$69:$C$73, CALCS│Summary!J70 + 3 ), "-" )</f>
        <v>▼</v>
      </c>
      <c r="G12" s="108" t="str">
        <f xml:space="preserve"> IFERROR( INDEX( 'Map &amp; Key'!$C$69:$C$73, CALCS│Summary!J99 + 3 ), "-" )</f>
        <v>▼▼</v>
      </c>
      <c r="H12" s="282" t="str">
        <f xml:space="preserve"> IFERROR( INDEX( 'Map &amp; Key'!$C$69:$C$73, CALCS│Summary!J128 + 3 ), "-" )</f>
        <v>-</v>
      </c>
      <c r="I12" s="108" t="str">
        <f xml:space="preserve"> IFERROR( INDEX( 'Map &amp; Key'!$C$69:$C$73, CALCS│Summary!Q128 + 3 ), "-" )</f>
        <v>-</v>
      </c>
      <c r="J12" s="108" t="str">
        <f xml:space="preserve"> IFERROR( INDEX( 'Map &amp; Key'!$C$69:$C$73, CALCS│Summary!X128 + 3 ), "-" )</f>
        <v>▼</v>
      </c>
      <c r="K12" s="108" t="str">
        <f xml:space="preserve"> IFERROR( INDEX( 'Map &amp; Key'!$C$69:$C$73, CALCS│Summary!AE128 + 3 ), "-" )</f>
        <v>-</v>
      </c>
      <c r="L12" s="108" t="str">
        <f xml:space="preserve"> IFERROR( INDEX( 'Map &amp; Key'!$C$69:$C$73, CALCS│Summary!AL128 + 3 ), "-" )</f>
        <v>-</v>
      </c>
      <c r="M12" s="108" t="str">
        <f xml:space="preserve"> IFERROR( INDEX( 'Map &amp; Key'!$C$69:$C$73, CALCS│Summary!AS128 + 3 ), "-" )</f>
        <v>-</v>
      </c>
      <c r="N12" s="283"/>
      <c r="O12" s="333" t="s">
        <v>73</v>
      </c>
      <c r="P12" s="258" t="s">
        <v>693</v>
      </c>
    </row>
    <row r="13" spans="2:16" ht="16.5" customHeight="1" x14ac:dyDescent="0.3">
      <c r="B13" s="270" t="s">
        <v>83</v>
      </c>
      <c r="C13" s="222" t="str">
        <f xml:space="preserve"> IFERROR( INDEX( 'Map &amp; Key'!$C$69:$C$73, CALCS│Summary!I14 + 3 ), "-" )</f>
        <v>-</v>
      </c>
      <c r="D13" s="221" t="str">
        <f xml:space="preserve"> IFERROR( INDEX( 'Map &amp; Key'!$C$69:$C$73, CALCS│Summary!P14 + 3 ), "-" )</f>
        <v>-</v>
      </c>
      <c r="E13" s="328" t="str">
        <f xml:space="preserve"> IFERROR( IF( ABS( CALCS│Summary!I42 ) &lt;= 0.01, "", IF( CALCS│Summary!I42 &lt; 0, 'Map &amp; Key'!$C$69, 'Map &amp; Key'!$C$72 ) ), "-" )</f>
        <v/>
      </c>
      <c r="F13" s="282" t="str">
        <f xml:space="preserve"> IFERROR( INDEX( 'Map &amp; Key'!$C$69:$C$73, CALCS│Summary!J71 + 3 ), "-" )</f>
        <v>-</v>
      </c>
      <c r="G13" s="282" t="str">
        <f xml:space="preserve"> IFERROR( INDEX( 'Map &amp; Key'!$C$69:$C$73, CALCS│Summary!J100 + 3 ), "-" )</f>
        <v>-</v>
      </c>
      <c r="H13" s="282" t="str">
        <f xml:space="preserve"> IFERROR( INDEX( 'Map &amp; Key'!$C$69:$C$73, CALCS│Summary!J129 + 3 ), "-" )</f>
        <v>-</v>
      </c>
      <c r="I13" s="282" t="str">
        <f xml:space="preserve"> IFERROR( INDEX( 'Map &amp; Key'!$C$69:$C$73, CALCS│Summary!Q129 + 3 ), "-" )</f>
        <v>-</v>
      </c>
      <c r="J13" s="282" t="str">
        <f xml:space="preserve"> IFERROR( INDEX( 'Map &amp; Key'!$C$69:$C$73, CALCS│Summary!X129 + 3 ), "-" )</f>
        <v>-</v>
      </c>
      <c r="K13" s="282" t="str">
        <f xml:space="preserve"> IFERROR( INDEX( 'Map &amp; Key'!$C$69:$C$73, CALCS│Summary!AE129 + 3 ), "-" )</f>
        <v>-</v>
      </c>
      <c r="L13" s="282" t="str">
        <f xml:space="preserve"> IFERROR( INDEX( 'Map &amp; Key'!$C$69:$C$73, CALCS│Summary!AL129 + 3 ), "-" )</f>
        <v>▲</v>
      </c>
      <c r="M13" s="282" t="str">
        <f xml:space="preserve"> IFERROR( INDEX( 'Map &amp; Key'!$C$69:$C$73, CALCS│Summary!AS129 + 3 ), "-" )</f>
        <v>▲</v>
      </c>
      <c r="N13" s="283"/>
      <c r="O13" s="333" t="s">
        <v>494</v>
      </c>
      <c r="P13" s="258" t="s">
        <v>694</v>
      </c>
    </row>
    <row r="14" spans="2:16" ht="16.5" customHeight="1" x14ac:dyDescent="0.3">
      <c r="B14" s="270" t="s">
        <v>90</v>
      </c>
      <c r="C14" s="220" t="str">
        <f xml:space="preserve"> IFERROR( INDEX( 'Map &amp; Key'!$C$69:$C$73, CALCS│Summary!I15 + 3 ), "-" )</f>
        <v>-</v>
      </c>
      <c r="D14" s="221" t="str">
        <f xml:space="preserve"> IFERROR( INDEX( 'Map &amp; Key'!$C$69:$C$73, CALCS│Summary!P15 + 3 ), "-" )</f>
        <v>-</v>
      </c>
      <c r="E14" s="219" t="str">
        <f xml:space="preserve"> IFERROR( IF( ABS( CALCS│Summary!I43 ) &lt;= 0.01, "", IF( CALCS│Summary!I43 &lt; 0, 'Map &amp; Key'!$C$69, 'Map &amp; Key'!$C$72 ) ), "-" )</f>
        <v/>
      </c>
      <c r="F14" s="282" t="str">
        <f xml:space="preserve"> IFERROR( INDEX( 'Map &amp; Key'!$C$69:$C$73, CALCS│Summary!J72 + 3 ), "-" )</f>
        <v>-</v>
      </c>
      <c r="G14" s="282" t="str">
        <f xml:space="preserve"> IFERROR( INDEX( 'Map &amp; Key'!$C$69:$C$73, CALCS│Summary!J101 + 3 ), "-" )</f>
        <v>-</v>
      </c>
      <c r="H14" s="282" t="str">
        <f xml:space="preserve"> IFERROR( INDEX( 'Map &amp; Key'!$C$69:$C$73, CALCS│Summary!J130 + 3 ), "-" )</f>
        <v>▼</v>
      </c>
      <c r="I14" s="282" t="str">
        <f xml:space="preserve"> IFERROR( INDEX( 'Map &amp; Key'!$C$69:$C$73, CALCS│Summary!Q130 + 3 ), "-" )</f>
        <v>-</v>
      </c>
      <c r="J14" s="282" t="str">
        <f xml:space="preserve"> IFERROR( INDEX( 'Map &amp; Key'!$C$69:$C$73, CALCS│Summary!X130 + 3 ), "-" )</f>
        <v>-</v>
      </c>
      <c r="K14" s="282" t="str">
        <f xml:space="preserve"> IFERROR( INDEX( 'Map &amp; Key'!$C$69:$C$73, CALCS│Summary!AE130 + 3 ), "-" )</f>
        <v>-</v>
      </c>
      <c r="L14" s="282" t="str">
        <f xml:space="preserve"> IFERROR( INDEX( 'Map &amp; Key'!$C$69:$C$73, CALCS│Summary!AL130 + 3 ), "-" )</f>
        <v>-</v>
      </c>
      <c r="M14" s="282" t="str">
        <f xml:space="preserve"> IFERROR( INDEX( 'Map &amp; Key'!$C$69:$C$73, CALCS│Summary!AS130 + 3 ), "-" )</f>
        <v>-</v>
      </c>
      <c r="N14" s="283"/>
      <c r="O14" s="333" t="s">
        <v>75</v>
      </c>
      <c r="P14" s="258" t="s">
        <v>695</v>
      </c>
    </row>
    <row r="15" spans="2:16" ht="16.5" customHeight="1" x14ac:dyDescent="0.3">
      <c r="B15" s="270" t="s">
        <v>92</v>
      </c>
      <c r="C15" s="222" t="str">
        <f xml:space="preserve"> IFERROR( INDEX( 'Map &amp; Key'!$C$69:$C$73, CALCS│Summary!I16 + 3 ), "-" )</f>
        <v>-</v>
      </c>
      <c r="D15" s="221" t="str">
        <f xml:space="preserve"> IFERROR( INDEX( 'Map &amp; Key'!$C$69:$C$73, CALCS│Summary!P16 + 3 ), "-" )</f>
        <v>-</v>
      </c>
      <c r="E15" s="328" t="str">
        <f xml:space="preserve"> IFERROR( IF( ABS( CALCS│Summary!I44 ) &lt;= 0.01, "", IF( CALCS│Summary!I44 &lt; 0, 'Map &amp; Key'!$C$69, 'Map &amp; Key'!$C$72 ) ), "-" )</f>
        <v/>
      </c>
      <c r="F15" s="282" t="str">
        <f xml:space="preserve"> IFERROR( INDEX( 'Map &amp; Key'!$C$69:$C$73, CALCS│Summary!J73 + 3 ), "-" )</f>
        <v>-</v>
      </c>
      <c r="G15" s="282" t="str">
        <f xml:space="preserve"> IFERROR( INDEX( 'Map &amp; Key'!$C$69:$C$73, CALCS│Summary!J102 + 3 ), "-" )</f>
        <v>▼</v>
      </c>
      <c r="H15" s="282" t="str">
        <f xml:space="preserve"> IFERROR( INDEX( 'Map &amp; Key'!$C$69:$C$73, CALCS│Summary!J131 + 3 ), "-" )</f>
        <v>-</v>
      </c>
      <c r="I15" s="282" t="str">
        <f xml:space="preserve"> IFERROR( INDEX( 'Map &amp; Key'!$C$69:$C$73, CALCS│Summary!Q131 + 3 ), "-" )</f>
        <v>-</v>
      </c>
      <c r="J15" s="282" t="str">
        <f xml:space="preserve"> IFERROR( INDEX( 'Map &amp; Key'!$C$69:$C$73, CALCS│Summary!X131 + 3 ), "-" )</f>
        <v>-</v>
      </c>
      <c r="K15" s="282" t="str">
        <f xml:space="preserve"> IFERROR( INDEX( 'Map &amp; Key'!$C$69:$C$73, CALCS│Summary!AE131 + 3 ), "-" )</f>
        <v>-</v>
      </c>
      <c r="L15" s="282" t="str">
        <f xml:space="preserve"> IFERROR( INDEX( 'Map &amp; Key'!$C$69:$C$73, CALCS│Summary!AL131 + 3 ), "-" )</f>
        <v>▼</v>
      </c>
      <c r="M15" s="282" t="str">
        <f xml:space="preserve"> IFERROR( INDEX( 'Map &amp; Key'!$C$69:$C$73, CALCS│Summary!AS131 + 3 ), "-" )</f>
        <v>-</v>
      </c>
      <c r="N15" s="283"/>
      <c r="O15" s="333" t="s">
        <v>675</v>
      </c>
      <c r="P15" s="258" t="s">
        <v>696</v>
      </c>
    </row>
    <row r="16" spans="2:16" ht="16.5" customHeight="1" x14ac:dyDescent="0.3">
      <c r="B16" s="270" t="s">
        <v>99</v>
      </c>
      <c r="C16" s="222" t="str">
        <f xml:space="preserve"> IFERROR( INDEX( 'Map &amp; Key'!$C$69:$C$73, CALCS│Summary!I17 + 3 ), "-" )</f>
        <v>-</v>
      </c>
      <c r="D16" s="221" t="str">
        <f xml:space="preserve"> IFERROR( INDEX( 'Map &amp; Key'!$C$69:$C$73, CALCS│Summary!P17 + 3 ), "-" )</f>
        <v>-</v>
      </c>
      <c r="E16" s="328" t="str">
        <f xml:space="preserve"> IFERROR( IF( ABS( CALCS│Summary!I45 ) &lt;= 0.01, "", IF( CALCS│Summary!I45 &lt; 0, 'Map &amp; Key'!$C$69, 'Map &amp; Key'!$C$72 ) ), "-" )</f>
        <v/>
      </c>
      <c r="F16" s="282" t="str">
        <f xml:space="preserve"> IFERROR( INDEX( 'Map &amp; Key'!$C$69:$C$73, CALCS│Summary!J74 + 3 ), "-" )</f>
        <v>▼</v>
      </c>
      <c r="G16" s="282" t="str">
        <f xml:space="preserve"> IFERROR( INDEX( 'Map &amp; Key'!$C$69:$C$73, CALCS│Summary!J103 + 3 ), "-" )</f>
        <v>▼</v>
      </c>
      <c r="H16" s="282" t="str">
        <f xml:space="preserve"> IFERROR( INDEX( 'Map &amp; Key'!$C$69:$C$73, CALCS│Summary!J132 + 3 ), "-" )</f>
        <v>-</v>
      </c>
      <c r="I16" s="282" t="str">
        <f xml:space="preserve"> IFERROR( INDEX( 'Map &amp; Key'!$C$69:$C$73, CALCS│Summary!Q132 + 3 ), "-" )</f>
        <v>-</v>
      </c>
      <c r="J16" s="282" t="str">
        <f xml:space="preserve"> IFERROR( INDEX( 'Map &amp; Key'!$C$69:$C$73, CALCS│Summary!X132 + 3 ), "-" )</f>
        <v>-</v>
      </c>
      <c r="K16" s="282" t="str">
        <f xml:space="preserve"> IFERROR( INDEX( 'Map &amp; Key'!$C$69:$C$73, CALCS│Summary!AE132 + 3 ), "-" )</f>
        <v>-</v>
      </c>
      <c r="L16" s="282" t="str">
        <f xml:space="preserve"> IFERROR( INDEX( 'Map &amp; Key'!$C$69:$C$73, CALCS│Summary!AL132 + 3 ), "-" )</f>
        <v>-</v>
      </c>
      <c r="M16" s="282" t="str">
        <f xml:space="preserve"> IFERROR( INDEX( 'Map &amp; Key'!$C$69:$C$73, CALCS│Summary!AS132 + 3 ), "-" )</f>
        <v>▼</v>
      </c>
    </row>
    <row r="17" spans="2:16" ht="16.5" customHeight="1" x14ac:dyDescent="0.3">
      <c r="B17" s="270" t="s">
        <v>103</v>
      </c>
      <c r="C17" s="222" t="str">
        <f xml:space="preserve"> IFERROR( INDEX( 'Map &amp; Key'!$C$69:$C$73, CALCS│Summary!I18 + 3 ), "-" )</f>
        <v>-</v>
      </c>
      <c r="D17" s="221" t="str">
        <f xml:space="preserve"> IFERROR( INDEX( 'Map &amp; Key'!$C$69:$C$73, CALCS│Summary!P18 + 3 ), "-" )</f>
        <v>-</v>
      </c>
      <c r="E17" s="328" t="str">
        <f xml:space="preserve"> IFERROR( IF( ABS( CALCS│Summary!I46 ) &lt;= 0.01, "", IF( CALCS│Summary!I46 &lt; 0, 'Map &amp; Key'!$C$69, 'Map &amp; Key'!$C$72 ) ), "-" )</f>
        <v/>
      </c>
      <c r="F17" s="282" t="str">
        <f xml:space="preserve"> IFERROR( INDEX( 'Map &amp; Key'!$C$69:$C$73, CALCS│Summary!J75 + 3 ), "-" )</f>
        <v>▲</v>
      </c>
      <c r="G17" s="282" t="str">
        <f xml:space="preserve"> IFERROR( INDEX( 'Map &amp; Key'!$C$69:$C$73, CALCS│Summary!J104 + 3 ), "-" )</f>
        <v>-</v>
      </c>
      <c r="H17" s="282" t="str">
        <f xml:space="preserve"> IFERROR( INDEX( 'Map &amp; Key'!$C$69:$C$73, CALCS│Summary!J133 + 3 ), "-" )</f>
        <v>▲</v>
      </c>
      <c r="I17" s="282" t="str">
        <f xml:space="preserve"> IFERROR( INDEX( 'Map &amp; Key'!$C$69:$C$73, CALCS│Summary!Q133 + 3 ), "-" )</f>
        <v>-</v>
      </c>
      <c r="J17" s="282" t="str">
        <f xml:space="preserve"> IFERROR( INDEX( 'Map &amp; Key'!$C$69:$C$73, CALCS│Summary!X133 + 3 ), "-" )</f>
        <v>-</v>
      </c>
      <c r="K17" s="282" t="str">
        <f xml:space="preserve"> IFERROR( INDEX( 'Map &amp; Key'!$C$69:$C$73, CALCS│Summary!AE133 + 3 ), "-" )</f>
        <v>-</v>
      </c>
      <c r="L17" s="282" t="str">
        <f xml:space="preserve"> IFERROR( INDEX( 'Map &amp; Key'!$C$69:$C$73, CALCS│Summary!AL133 + 3 ), "-" )</f>
        <v>-</v>
      </c>
      <c r="M17" s="282" t="str">
        <f xml:space="preserve"> IFERROR( INDEX( 'Map &amp; Key'!$C$69:$C$73, CALCS│Summary!AS133 + 3 ), "-" )</f>
        <v>▲</v>
      </c>
    </row>
    <row r="18" spans="2:16" ht="16.5" customHeight="1" x14ac:dyDescent="0.3">
      <c r="B18" s="270" t="s">
        <v>109</v>
      </c>
      <c r="C18" s="222" t="str">
        <f xml:space="preserve"> IFERROR( INDEX( 'Map &amp; Key'!$C$69:$C$73, CALCS│Summary!I19 + 3 ), "-" )</f>
        <v>-</v>
      </c>
      <c r="D18" s="221" t="str">
        <f xml:space="preserve"> IFERROR( INDEX( 'Map &amp; Key'!$C$69:$C$73, CALCS│Summary!P19 + 3 ), "-" )</f>
        <v>-</v>
      </c>
      <c r="E18" s="328" t="str">
        <f xml:space="preserve"> IFERROR( IF( ABS( CALCS│Summary!I47 ) &lt;= 0.01, "", IF( CALCS│Summary!I47 &lt; 0, 'Map &amp; Key'!$C$69, 'Map &amp; Key'!$C$72 ) ), "-" )</f>
        <v/>
      </c>
      <c r="F18" s="282" t="str">
        <f xml:space="preserve"> IFERROR( INDEX( 'Map &amp; Key'!$C$69:$C$73, CALCS│Summary!J76 + 3 ), "-" )</f>
        <v>-</v>
      </c>
      <c r="G18" s="282" t="str">
        <f xml:space="preserve"> IFERROR( INDEX( 'Map &amp; Key'!$C$69:$C$73, CALCS│Summary!J105 + 3 ), "-" )</f>
        <v>-</v>
      </c>
      <c r="H18" s="282" t="str">
        <f xml:space="preserve"> IFERROR( INDEX( 'Map &amp; Key'!$C$69:$C$73, CALCS│Summary!J134 + 3 ), "-" )</f>
        <v>-</v>
      </c>
      <c r="I18" s="282" t="str">
        <f xml:space="preserve"> IFERROR( INDEX( 'Map &amp; Key'!$C$69:$C$73, CALCS│Summary!Q134 + 3 ), "-" )</f>
        <v>-</v>
      </c>
      <c r="J18" s="282" t="str">
        <f xml:space="preserve"> IFERROR( INDEX( 'Map &amp; Key'!$C$69:$C$73, CALCS│Summary!X134 + 3 ), "-" )</f>
        <v>-</v>
      </c>
      <c r="K18" s="282" t="str">
        <f xml:space="preserve"> IFERROR( INDEX( 'Map &amp; Key'!$C$69:$C$73, CALCS│Summary!AE134 + 3 ), "-" )</f>
        <v>-</v>
      </c>
      <c r="L18" s="282" t="str">
        <f xml:space="preserve"> IFERROR( INDEX( 'Map &amp; Key'!$C$69:$C$73, CALCS│Summary!AL134 + 3 ), "-" )</f>
        <v>-</v>
      </c>
      <c r="M18" s="282" t="str">
        <f xml:space="preserve"> IFERROR( INDEX( 'Map &amp; Key'!$C$69:$C$73, CALCS│Summary!AS134 + 3 ), "-" )</f>
        <v>-</v>
      </c>
      <c r="N18" s="283"/>
    </row>
    <row r="19" spans="2:16" ht="16.5" customHeight="1" x14ac:dyDescent="0.3">
      <c r="B19" s="270" t="s">
        <v>113</v>
      </c>
      <c r="C19" s="222" t="str">
        <f xml:space="preserve"> IFERROR( INDEX( 'Map &amp; Key'!$C$69:$C$73, CALCS│Summary!I20 + 3 ), "-" )</f>
        <v>▲</v>
      </c>
      <c r="D19" s="221" t="str">
        <f xml:space="preserve"> IFERROR( INDEX( 'Map &amp; Key'!$C$69:$C$73, CALCS│Summary!P20 + 3 ), "-" )</f>
        <v>-</v>
      </c>
      <c r="E19" s="328" t="str">
        <f xml:space="preserve"> IFERROR( IF( ABS( CALCS│Summary!I48 ) &lt;= 0.01, "", IF( CALCS│Summary!I48 &lt; 0, 'Map &amp; Key'!$C$69, 'Map &amp; Key'!$C$72 ) ), "-" )</f>
        <v/>
      </c>
      <c r="F19" s="282" t="str">
        <f xml:space="preserve"> IFERROR( INDEX( 'Map &amp; Key'!$C$69:$C$73, CALCS│Summary!J77 + 3 ), "-" )</f>
        <v>-</v>
      </c>
      <c r="G19" s="282" t="str">
        <f xml:space="preserve"> IFERROR( INDEX( 'Map &amp; Key'!$C$69:$C$73, CALCS│Summary!J106 + 3 ), "-" )</f>
        <v>-</v>
      </c>
      <c r="H19" s="282" t="str">
        <f xml:space="preserve"> IFERROR( INDEX( 'Map &amp; Key'!$C$69:$C$73, CALCS│Summary!J135 + 3 ), "-" )</f>
        <v>▼</v>
      </c>
      <c r="I19" s="282" t="str">
        <f xml:space="preserve"> IFERROR( INDEX( 'Map &amp; Key'!$C$69:$C$73, CALCS│Summary!Q135 + 3 ), "-" )</f>
        <v>-</v>
      </c>
      <c r="J19" s="282" t="str">
        <f xml:space="preserve"> IFERROR( INDEX( 'Map &amp; Key'!$C$69:$C$73, CALCS│Summary!X135 + 3 ), "-" )</f>
        <v>-</v>
      </c>
      <c r="K19" s="282" t="str">
        <f xml:space="preserve"> IFERROR( INDEX( 'Map &amp; Key'!$C$69:$C$73, CALCS│Summary!AE135 + 3 ), "-" )</f>
        <v>-</v>
      </c>
      <c r="L19" s="282" t="str">
        <f xml:space="preserve"> IFERROR( INDEX( 'Map &amp; Key'!$C$69:$C$73, CALCS│Summary!AL135 + 3 ), "-" )</f>
        <v>-</v>
      </c>
      <c r="M19" s="282" t="str">
        <f xml:space="preserve"> IFERROR( INDEX( 'Map &amp; Key'!$C$69:$C$73, CALCS│Summary!AS135 + 3 ), "-" )</f>
        <v>-</v>
      </c>
    </row>
    <row r="20" spans="2:16" ht="16.5" customHeight="1" x14ac:dyDescent="0.3">
      <c r="B20" s="270" t="s">
        <v>111</v>
      </c>
      <c r="C20" s="222" t="str">
        <f xml:space="preserve"> IFERROR( INDEX( 'Map &amp; Key'!$C$69:$C$73, CALCS│Summary!I21 + 3 ), "-" )</f>
        <v>-</v>
      </c>
      <c r="D20" s="221" t="str">
        <f xml:space="preserve"> IFERROR( INDEX( 'Map &amp; Key'!$C$69:$C$73, CALCS│Summary!P21 + 3 ), "-" )</f>
        <v>-</v>
      </c>
      <c r="E20" s="219" t="str">
        <f xml:space="preserve"> IFERROR( IF( ABS( CALCS│Summary!I49 ) &lt;= 0.01, "", IF( CALCS│Summary!I49 &lt; 0, 'Map &amp; Key'!$C$69, 'Map &amp; Key'!$C$72 ) ), "-" )</f>
        <v/>
      </c>
      <c r="F20" s="282" t="str">
        <f xml:space="preserve"> IFERROR( INDEX( 'Map &amp; Key'!$C$69:$C$73, CALCS│Summary!J78 + 3 ), "-" )</f>
        <v>▲</v>
      </c>
      <c r="G20" s="282" t="str">
        <f xml:space="preserve"> IFERROR( INDEX( 'Map &amp; Key'!$C$69:$C$73, CALCS│Summary!J107 + 3 ), "-" )</f>
        <v>-</v>
      </c>
      <c r="H20" s="282" t="str">
        <f xml:space="preserve"> IFERROR( INDEX( 'Map &amp; Key'!$C$69:$C$73, CALCS│Summary!J136 + 3 ), "-" )</f>
        <v>-</v>
      </c>
      <c r="I20" s="282" t="str">
        <f xml:space="preserve"> IFERROR( INDEX( 'Map &amp; Key'!$C$69:$C$73, CALCS│Summary!Q136 + 3 ), "-" )</f>
        <v>-</v>
      </c>
      <c r="J20" s="282" t="str">
        <f xml:space="preserve"> IFERROR( INDEX( 'Map &amp; Key'!$C$69:$C$73, CALCS│Summary!X136 + 3 ), "-" )</f>
        <v>▲▲</v>
      </c>
      <c r="K20" s="282" t="str">
        <f xml:space="preserve"> IFERROR( INDEX( 'Map &amp; Key'!$C$69:$C$73, CALCS│Summary!AE136 + 3 ), "-" )</f>
        <v>-</v>
      </c>
      <c r="L20" s="282" t="str">
        <f xml:space="preserve"> IFERROR( INDEX( 'Map &amp; Key'!$C$69:$C$73, CALCS│Summary!AL136 + 3 ), "-" )</f>
        <v>-</v>
      </c>
      <c r="M20" s="282" t="str">
        <f xml:space="preserve"> IFERROR( INDEX( 'Map &amp; Key'!$C$69:$C$73, CALCS│Summary!AS136 + 3 ), "-" )</f>
        <v>-</v>
      </c>
    </row>
    <row r="21" spans="2:16" ht="16.5" customHeight="1" x14ac:dyDescent="0.3">
      <c r="B21" s="245" t="s">
        <v>171</v>
      </c>
      <c r="C21" s="182"/>
      <c r="D21" s="182"/>
      <c r="E21" s="182"/>
      <c r="F21" s="182"/>
      <c r="G21" s="182"/>
      <c r="H21" s="182"/>
      <c r="I21" s="182"/>
      <c r="J21" s="182"/>
      <c r="K21" s="182"/>
      <c r="L21" s="182"/>
      <c r="M21" s="244"/>
    </row>
    <row r="22" spans="2:16" ht="16.5" customHeight="1" x14ac:dyDescent="0.3">
      <c r="B22" s="270" t="s">
        <v>86</v>
      </c>
      <c r="C22" s="222" t="str">
        <f xml:space="preserve"> IFERROR( INDEX( 'Map &amp; Key'!$C$69:$C$73, CALCS│Summary!I23 + 3 ), "-" )</f>
        <v>-</v>
      </c>
      <c r="D22" s="221" t="str">
        <f xml:space="preserve"> IFERROR( INDEX( 'Map &amp; Key'!$C$69:$C$73, CALCS│Summary!P23 + 3 ), "-" )</f>
        <v>-</v>
      </c>
      <c r="E22" s="328" t="str">
        <f xml:space="preserve"> IFERROR( IF( ABS( CALCS│Summary!I51 ) &lt;= 0.01, "", IF( CALCS│Summary!I51 &lt; 0, 'Map &amp; Key'!$C$69, 'Map &amp; Key'!$C$72 ) ), "-" )</f>
        <v/>
      </c>
      <c r="F22" s="282" t="str">
        <f xml:space="preserve"> IFERROR( INDEX( 'Map &amp; Key'!$C$69:$C$73, CALCS│Summary!J80 + 3 ), "-" )</f>
        <v>-</v>
      </c>
      <c r="G22" s="282" t="str">
        <f xml:space="preserve"> IFERROR( INDEX( 'Map &amp; Key'!$C$69:$C$73, CALCS│Summary!J109 + 3 ), "-" )</f>
        <v>-</v>
      </c>
      <c r="H22" s="282" t="str">
        <f xml:space="preserve"> IFERROR( INDEX( 'Map &amp; Key'!$C$69:$C$73, CALCS│Summary!J138 + 3 ), "-" )</f>
        <v>-</v>
      </c>
      <c r="I22" s="282" t="str">
        <f xml:space="preserve"> IFERROR( INDEX( 'Map &amp; Key'!$C$69:$C$73, CALCS│Summary!Q138 + 3 ), "-" )</f>
        <v>-</v>
      </c>
      <c r="J22" s="282" t="str">
        <f xml:space="preserve"> IFERROR( INDEX( 'Map &amp; Key'!$C$69:$C$73, CALCS│Summary!X138 + 3 ), "-" )</f>
        <v>-</v>
      </c>
      <c r="K22" s="282" t="str">
        <f xml:space="preserve"> IFERROR( INDEX( 'Map &amp; Key'!$C$69:$C$73, CALCS│Summary!AE138 + 3 ), "-" )</f>
        <v>-</v>
      </c>
      <c r="L22" s="282" t="str">
        <f xml:space="preserve"> IFERROR( INDEX( 'Map &amp; Key'!$C$69:$C$73, CALCS│Summary!AL138 + 3 ), "-" )</f>
        <v>-</v>
      </c>
      <c r="M22" s="108" t="str">
        <f xml:space="preserve"> IFERROR( INDEX( 'Map &amp; Key'!$C$69:$C$73, CALCS│Summary!AS138 + 3 ), "-" )</f>
        <v>-</v>
      </c>
    </row>
    <row r="23" spans="2:16" ht="16.5" customHeight="1" x14ac:dyDescent="0.3">
      <c r="B23" s="270" t="s">
        <v>97</v>
      </c>
      <c r="C23" s="222" t="str">
        <f xml:space="preserve"> IFERROR( INDEX( 'Map &amp; Key'!$C$69:$C$73, CALCS│Summary!I24 + 3 ), "-" )</f>
        <v>-</v>
      </c>
      <c r="D23" s="221" t="str">
        <f xml:space="preserve"> IFERROR( INDEX( 'Map &amp; Key'!$C$69:$C$73, CALCS│Summary!P24 + 3 ), "-" )</f>
        <v>-</v>
      </c>
      <c r="E23" s="328" t="str">
        <f xml:space="preserve"> IFERROR( IF( ABS( CALCS│Summary!I52 ) &lt;= 0.01, "", IF( CALCS│Summary!I52 &lt; 0, 'Map &amp; Key'!$C$69, 'Map &amp; Key'!$C$72 ) ), "-" )</f>
        <v/>
      </c>
      <c r="F23" s="282" t="str">
        <f xml:space="preserve"> IFERROR( INDEX( 'Map &amp; Key'!$C$69:$C$73, CALCS│Summary!J81 + 3 ), "-" )</f>
        <v>-</v>
      </c>
      <c r="G23" s="282" t="str">
        <f xml:space="preserve"> IFERROR( INDEX( 'Map &amp; Key'!$C$69:$C$73, CALCS│Summary!J110 + 3 ), "-" )</f>
        <v>-</v>
      </c>
      <c r="H23" s="282" t="str">
        <f xml:space="preserve"> IFERROR( INDEX( 'Map &amp; Key'!$C$69:$C$73, CALCS│Summary!J139 + 3 ), "-" )</f>
        <v>-</v>
      </c>
      <c r="I23" s="282" t="str">
        <f xml:space="preserve"> IFERROR( INDEX( 'Map &amp; Key'!$C$69:$C$73, CALCS│Summary!Q139 + 3 ), "-" )</f>
        <v>-</v>
      </c>
      <c r="J23" s="108" t="str">
        <f xml:space="preserve"> IFERROR( INDEX( 'Map &amp; Key'!$C$69:$C$73, CALCS│Summary!X139 + 3 ), "-" )</f>
        <v>-</v>
      </c>
      <c r="K23" s="108" t="str">
        <f xml:space="preserve"> IFERROR( INDEX( 'Map &amp; Key'!$C$69:$C$73, CALCS│Summary!AE139 + 3 ), "-" )</f>
        <v>-</v>
      </c>
      <c r="L23" s="108" t="str">
        <f xml:space="preserve"> IFERROR( INDEX( 'Map &amp; Key'!$C$69:$C$73, CALCS│Summary!AL139 + 3 ), "-" )</f>
        <v>-</v>
      </c>
      <c r="M23" s="108" t="str">
        <f xml:space="preserve"> IFERROR( INDEX( 'Map &amp; Key'!$C$69:$C$73, CALCS│Summary!AS139 + 3 ), "-" )</f>
        <v>-</v>
      </c>
    </row>
    <row r="24" spans="2:16" ht="16.5" customHeight="1" x14ac:dyDescent="0.3">
      <c r="B24" s="270" t="s">
        <v>95</v>
      </c>
      <c r="C24" s="222" t="str">
        <f xml:space="preserve"> IFERROR( INDEX( 'Map &amp; Key'!$C$69:$C$73, CALCS│Summary!I25 + 3 ), "-" )</f>
        <v>▼</v>
      </c>
      <c r="D24" s="221" t="str">
        <f xml:space="preserve"> IFERROR( INDEX( 'Map &amp; Key'!$C$69:$C$73, CALCS│Summary!P25 + 3 ), "-" )</f>
        <v>-</v>
      </c>
      <c r="E24" s="328" t="str">
        <f xml:space="preserve"> IFERROR( IF( ABS( CALCS│Summary!I53 ) &lt;= 0.01, "", IF( CALCS│Summary!I53 &lt; 0, 'Map &amp; Key'!$C$69, 'Map &amp; Key'!$C$72 ) ), "-" )</f>
        <v/>
      </c>
      <c r="F24" s="282" t="str">
        <f xml:space="preserve"> IFERROR( INDEX( 'Map &amp; Key'!$C$69:$C$73, CALCS│Summary!J82 + 3 ), "-" )</f>
        <v>▼</v>
      </c>
      <c r="G24" s="282" t="str">
        <f xml:space="preserve"> IFERROR( INDEX( 'Map &amp; Key'!$C$69:$C$73, CALCS│Summary!J111 + 3 ), "-" )</f>
        <v>-</v>
      </c>
      <c r="H24" s="282" t="str">
        <f xml:space="preserve"> IFERROR( INDEX( 'Map &amp; Key'!$C$69:$C$73, CALCS│Summary!J140 + 3 ), "-" )</f>
        <v>-</v>
      </c>
      <c r="I24" s="282" t="str">
        <f xml:space="preserve"> IFERROR( INDEX( 'Map &amp; Key'!$C$69:$C$73, CALCS│Summary!Q140 + 3 ), "-" )</f>
        <v>-</v>
      </c>
      <c r="J24" s="282" t="str">
        <f xml:space="preserve"> IFERROR( INDEX( 'Map &amp; Key'!$C$69:$C$73, CALCS│Summary!X140 + 3 ), "-" )</f>
        <v>▼</v>
      </c>
      <c r="K24" s="282" t="str">
        <f xml:space="preserve"> IFERROR( INDEX( 'Map &amp; Key'!$C$69:$C$73, CALCS│Summary!AE140 + 3 ), "-" )</f>
        <v>-</v>
      </c>
      <c r="L24" s="282" t="str">
        <f xml:space="preserve"> IFERROR( INDEX( 'Map &amp; Key'!$C$69:$C$73, CALCS│Summary!AL140 + 3 ), "-" )</f>
        <v>▲</v>
      </c>
      <c r="M24" s="282" t="str">
        <f xml:space="preserve"> IFERROR( INDEX( 'Map &amp; Key'!$C$69:$C$73, CALCS│Summary!AS140 + 3 ), "-" )</f>
        <v>-</v>
      </c>
      <c r="N24" s="283"/>
      <c r="O24" s="283"/>
      <c r="P24" s="283"/>
    </row>
    <row r="25" spans="2:16" ht="16.5" customHeight="1" x14ac:dyDescent="0.3">
      <c r="B25" s="270" t="s">
        <v>105</v>
      </c>
      <c r="C25" s="222" t="str">
        <f xml:space="preserve"> IFERROR( INDEX( 'Map &amp; Key'!$C$69:$C$73, CALCS│Summary!I26 + 3 ), "-" )</f>
        <v>▼</v>
      </c>
      <c r="D25" s="221" t="str">
        <f xml:space="preserve"> IFERROR( INDEX( 'Map &amp; Key'!$C$69:$C$73, CALCS│Summary!P26 + 3 ), "-" )</f>
        <v>-</v>
      </c>
      <c r="E25" s="328" t="str">
        <f xml:space="preserve"> IFERROR( IF( ABS( CALCS│Summary!I54 ) &lt;= 0.01, "", IF( CALCS│Summary!I54 &lt; 0, 'Map &amp; Key'!$C$69, 'Map &amp; Key'!$C$72 ) ), "-" )</f>
        <v/>
      </c>
      <c r="F25" s="282" t="str">
        <f xml:space="preserve"> IFERROR( INDEX( 'Map &amp; Key'!$C$69:$C$73, CALCS│Summary!J83 + 3 ), "-" )</f>
        <v>▼</v>
      </c>
      <c r="G25" s="282" t="str">
        <f xml:space="preserve"> IFERROR( INDEX( 'Map &amp; Key'!$C$69:$C$73, CALCS│Summary!J112 + 3 ), "-" )</f>
        <v>-</v>
      </c>
      <c r="H25" s="282" t="str">
        <f xml:space="preserve"> IFERROR( INDEX( 'Map &amp; Key'!$C$69:$C$73, CALCS│Summary!J141 + 3 ), "-" )</f>
        <v>-</v>
      </c>
      <c r="I25" s="282" t="str">
        <f xml:space="preserve"> IFERROR( INDEX( 'Map &amp; Key'!$C$69:$C$73, CALCS│Summary!Q141 + 3 ), "-" )</f>
        <v>-</v>
      </c>
      <c r="J25" s="282" t="str">
        <f xml:space="preserve"> IFERROR( INDEX( 'Map &amp; Key'!$C$69:$C$73, CALCS│Summary!X141 + 3 ), "-" )</f>
        <v>▼</v>
      </c>
      <c r="K25" s="282" t="str">
        <f xml:space="preserve"> IFERROR( INDEX( 'Map &amp; Key'!$C$69:$C$73, CALCS│Summary!AE141 + 3 ), "-" )</f>
        <v>-</v>
      </c>
      <c r="L25" s="282" t="str">
        <f xml:space="preserve"> IFERROR( INDEX( 'Map &amp; Key'!$C$69:$C$73, CALCS│Summary!AL141 + 3 ), "-" )</f>
        <v>-</v>
      </c>
      <c r="M25" s="282" t="str">
        <f xml:space="preserve"> IFERROR( INDEX( 'Map &amp; Key'!$C$69:$C$73, CALCS│Summary!AS141 + 3 ), "-" )</f>
        <v>-</v>
      </c>
    </row>
  </sheetData>
  <mergeCells count="3">
    <mergeCell ref="E4:M4"/>
    <mergeCell ref="C4:D4"/>
    <mergeCell ref="O7:P7"/>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50" id="{EFFABC80-61BF-4A95-8278-079C1E307DD5}">
            <xm:f>CALCS│Summary!H65=1</xm:f>
            <x14:dxf>
              <font>
                <b/>
                <i val="0"/>
                <color theme="3" tint="-0.24994659260841701"/>
              </font>
              <fill>
                <patternFill>
                  <bgColor rgb="FFF4AA00"/>
                </patternFill>
              </fill>
            </x14:dxf>
          </x14:cfRule>
          <x14:cfRule type="expression" priority="351" id="{E3D0C11A-CC3D-4A6C-867B-C605E2630794}">
            <xm:f>CALCS│Summary!H65=2</xm:f>
            <x14:dxf>
              <font>
                <b/>
                <i val="0"/>
                <color theme="3" tint="-0.24994659260841701"/>
              </font>
              <fill>
                <patternFill>
                  <bgColor rgb="FFB9C884"/>
                </patternFill>
              </fill>
            </x14:dxf>
          </x14:cfRule>
          <x14:cfRule type="expression" priority="352" id="{29C30DC9-0822-48C0-8F42-7D672F537889}">
            <xm:f>CALCS│Summary!H65=3</xm:f>
            <x14:dxf>
              <font>
                <b/>
                <i val="0"/>
                <color theme="3" tint="-0.24994659260841701"/>
              </font>
              <fill>
                <patternFill>
                  <bgColor rgb="FF709500"/>
                </patternFill>
              </fill>
            </x14:dxf>
          </x14:cfRule>
          <xm:sqref>F22:F25 F7:F10 F12:F20</xm:sqref>
        </x14:conditionalFormatting>
        <x14:conditionalFormatting xmlns:xm="http://schemas.microsoft.com/office/excel/2006/main">
          <x14:cfRule type="expression" priority="413" id="{211FA674-289E-400C-92B9-FD406EB9BB7E}">
            <xm:f>CALCS│Summary!H94=1</xm:f>
            <x14:dxf>
              <font>
                <b/>
                <i val="0"/>
                <color theme="3" tint="-0.24994659260841701"/>
              </font>
              <fill>
                <patternFill>
                  <bgColor rgb="FFF4AA00"/>
                </patternFill>
              </fill>
            </x14:dxf>
          </x14:cfRule>
          <x14:cfRule type="expression" priority="414" id="{D66C9D95-8C52-4680-BA16-CCD0B54022FB}">
            <xm:f>CALCS│Summary!H94=2</xm:f>
            <x14:dxf>
              <font>
                <b/>
                <i val="0"/>
                <color theme="3" tint="-0.24994659260841701"/>
              </font>
              <fill>
                <patternFill>
                  <bgColor rgb="FFB9C884"/>
                </patternFill>
              </fill>
            </x14:dxf>
          </x14:cfRule>
          <x14:cfRule type="expression" priority="415" id="{1FF8150D-ECA2-4518-9044-33957BA1ED52}">
            <xm:f>CALCS│Summary!H94=3</xm:f>
            <x14:dxf>
              <font>
                <b/>
                <i val="0"/>
                <color theme="3" tint="-0.24994659260841701"/>
              </font>
              <fill>
                <patternFill>
                  <bgColor rgb="FF709500"/>
                </patternFill>
              </fill>
            </x14:dxf>
          </x14:cfRule>
          <xm:sqref>G22:G25 G7:G10 G12:G20</xm:sqref>
        </x14:conditionalFormatting>
        <x14:conditionalFormatting xmlns:xm="http://schemas.microsoft.com/office/excel/2006/main">
          <x14:cfRule type="expression" priority="416" id="{211FA674-289E-400C-92B9-FD406EB9BB7E}">
            <xm:f>CALCS│Summary!AJ123=1</xm:f>
            <x14:dxf>
              <font>
                <b/>
                <i val="0"/>
                <color theme="3" tint="-0.24994659260841701"/>
              </font>
              <fill>
                <patternFill>
                  <bgColor rgb="FFF4AA00"/>
                </patternFill>
              </fill>
            </x14:dxf>
          </x14:cfRule>
          <x14:cfRule type="expression" priority="417" id="{D66C9D95-8C52-4680-BA16-CCD0B54022FB}">
            <xm:f>CALCS│Summary!AJ123=2</xm:f>
            <x14:dxf>
              <font>
                <b/>
                <i val="0"/>
                <color theme="3" tint="-0.24994659260841701"/>
              </font>
              <fill>
                <patternFill>
                  <bgColor rgb="FFB9C884"/>
                </patternFill>
              </fill>
            </x14:dxf>
          </x14:cfRule>
          <x14:cfRule type="expression" priority="418" id="{1FF8150D-ECA2-4518-9044-33957BA1ED52}">
            <xm:f>CALCS│Summary!AJ123=3</xm:f>
            <x14:dxf>
              <font>
                <b/>
                <i val="0"/>
                <color theme="3" tint="-0.24994659260841701"/>
              </font>
              <fill>
                <patternFill>
                  <bgColor rgb="FF709500"/>
                </patternFill>
              </fill>
            </x14:dxf>
          </x14:cfRule>
          <xm:sqref>L22:L25 L7:L10 L12:L20</xm:sqref>
        </x14:conditionalFormatting>
        <x14:conditionalFormatting xmlns:xm="http://schemas.microsoft.com/office/excel/2006/main">
          <x14:cfRule type="expression" priority="428" id="{932C1E71-D073-4446-B0B8-53CB523AF53B}">
            <xm:f>CALCS│Summary!AQ123=1</xm:f>
            <x14:dxf>
              <font>
                <b/>
                <i val="0"/>
                <color theme="3" tint="-0.24994659260841701"/>
              </font>
              <fill>
                <patternFill>
                  <bgColor rgb="FFF4AA00"/>
                </patternFill>
              </fill>
            </x14:dxf>
          </x14:cfRule>
          <x14:cfRule type="expression" priority="429" id="{B8AA7F7C-CA2C-4A24-8E5C-0BEB019815FA}">
            <xm:f>CALCS│Summary!AQ123=2</xm:f>
            <x14:dxf>
              <font>
                <b/>
                <i val="0"/>
                <color theme="3" tint="-0.24994659260841701"/>
              </font>
              <fill>
                <patternFill>
                  <bgColor rgb="FFB9C884"/>
                </patternFill>
              </fill>
            </x14:dxf>
          </x14:cfRule>
          <x14:cfRule type="expression" priority="430" id="{F97C14F4-8201-4528-B6F9-5BCC825E7DA1}">
            <xm:f>CALCS│Summary!AQ123=3</xm:f>
            <x14:dxf>
              <font>
                <b/>
                <i val="0"/>
                <color theme="3" tint="-0.24994659260841701"/>
              </font>
              <fill>
                <patternFill>
                  <bgColor rgb="FF709500"/>
                </patternFill>
              </fill>
            </x14:dxf>
          </x14:cfRule>
          <xm:sqref>M22:M25 M7:M10 M12:M20</xm:sqref>
        </x14:conditionalFormatting>
        <x14:conditionalFormatting xmlns:xm="http://schemas.microsoft.com/office/excel/2006/main">
          <x14:cfRule type="expression" priority="440" id="{211FA674-289E-400C-92B9-FD406EB9BB7E}">
            <xm:f>CALCS│Summary!AC123=1</xm:f>
            <x14:dxf>
              <font>
                <b/>
                <i val="0"/>
                <color theme="3" tint="-0.24994659260841701"/>
              </font>
              <fill>
                <patternFill>
                  <bgColor rgb="FFF4AA00"/>
                </patternFill>
              </fill>
            </x14:dxf>
          </x14:cfRule>
          <x14:cfRule type="expression" priority="441" id="{D66C9D95-8C52-4680-BA16-CCD0B54022FB}">
            <xm:f>CALCS│Summary!AC123=2</xm:f>
            <x14:dxf>
              <font>
                <b/>
                <i val="0"/>
                <color theme="3" tint="-0.24994659260841701"/>
              </font>
              <fill>
                <patternFill>
                  <bgColor rgb="FFB9C884"/>
                </patternFill>
              </fill>
            </x14:dxf>
          </x14:cfRule>
          <x14:cfRule type="expression" priority="442" id="{1FF8150D-ECA2-4518-9044-33957BA1ED52}">
            <xm:f>CALCS│Summary!AC123=3</xm:f>
            <x14:dxf>
              <font>
                <b/>
                <i val="0"/>
                <color theme="3" tint="-0.24994659260841701"/>
              </font>
              <fill>
                <patternFill>
                  <bgColor rgb="FF709500"/>
                </patternFill>
              </fill>
            </x14:dxf>
          </x14:cfRule>
          <xm:sqref>K22:K25 K7:K10 K12:K20</xm:sqref>
        </x14:conditionalFormatting>
        <x14:conditionalFormatting xmlns:xm="http://schemas.microsoft.com/office/excel/2006/main">
          <x14:cfRule type="expression" priority="452" id="{211FA674-289E-400C-92B9-FD406EB9BB7E}">
            <xm:f>CALCS│Summary!V123=1</xm:f>
            <x14:dxf>
              <font>
                <b/>
                <i val="0"/>
                <color theme="3" tint="-0.24994659260841701"/>
              </font>
              <fill>
                <patternFill>
                  <bgColor rgb="FFF4AA00"/>
                </patternFill>
              </fill>
            </x14:dxf>
          </x14:cfRule>
          <x14:cfRule type="expression" priority="453" id="{D66C9D95-8C52-4680-BA16-CCD0B54022FB}">
            <xm:f>CALCS│Summary!V123=2</xm:f>
            <x14:dxf>
              <font>
                <b/>
                <i val="0"/>
                <color theme="3" tint="-0.24994659260841701"/>
              </font>
              <fill>
                <patternFill>
                  <bgColor rgb="FFB9C884"/>
                </patternFill>
              </fill>
            </x14:dxf>
          </x14:cfRule>
          <x14:cfRule type="expression" priority="454" id="{1FF8150D-ECA2-4518-9044-33957BA1ED52}">
            <xm:f>CALCS│Summary!V123=3</xm:f>
            <x14:dxf>
              <font>
                <b/>
                <i val="0"/>
                <color theme="3" tint="-0.24994659260841701"/>
              </font>
              <fill>
                <patternFill>
                  <bgColor rgb="FF709500"/>
                </patternFill>
              </fill>
            </x14:dxf>
          </x14:cfRule>
          <xm:sqref>J22:J25 J7:J10 J12:J20</xm:sqref>
        </x14:conditionalFormatting>
        <x14:conditionalFormatting xmlns:xm="http://schemas.microsoft.com/office/excel/2006/main">
          <x14:cfRule type="expression" priority="464" id="{211FA674-289E-400C-92B9-FD406EB9BB7E}">
            <xm:f>CALCS│Summary!H123=1</xm:f>
            <x14:dxf>
              <font>
                <b/>
                <i val="0"/>
                <color theme="3" tint="-0.24994659260841701"/>
              </font>
              <fill>
                <patternFill>
                  <bgColor rgb="FFF4AA00"/>
                </patternFill>
              </fill>
            </x14:dxf>
          </x14:cfRule>
          <x14:cfRule type="expression" priority="465" id="{D66C9D95-8C52-4680-BA16-CCD0B54022FB}">
            <xm:f>CALCS│Summary!H123=2</xm:f>
            <x14:dxf>
              <font>
                <b/>
                <i val="0"/>
                <color theme="3" tint="-0.24994659260841701"/>
              </font>
              <fill>
                <patternFill>
                  <bgColor rgb="FFB9C884"/>
                </patternFill>
              </fill>
            </x14:dxf>
          </x14:cfRule>
          <x14:cfRule type="expression" priority="466" id="{1FF8150D-ECA2-4518-9044-33957BA1ED52}">
            <xm:f>CALCS│Summary!H123=3</xm:f>
            <x14:dxf>
              <font>
                <b/>
                <i val="0"/>
                <color theme="3" tint="-0.24994659260841701"/>
              </font>
              <fill>
                <patternFill>
                  <bgColor rgb="FF709500"/>
                </patternFill>
              </fill>
            </x14:dxf>
          </x14:cfRule>
          <xm:sqref>H22:H25 H7:H10 H12:H20</xm:sqref>
        </x14:conditionalFormatting>
        <x14:conditionalFormatting xmlns:xm="http://schemas.microsoft.com/office/excel/2006/main">
          <x14:cfRule type="expression" priority="1" id="{8EDDF6FE-80C3-49F3-9466-EE4D9BE68224}">
            <xm:f>CALCS│Summary!O123=1</xm:f>
            <x14:dxf>
              <font>
                <b/>
                <i val="0"/>
                <color theme="3" tint="-0.24994659260841701"/>
              </font>
              <fill>
                <patternFill>
                  <bgColor rgb="FFF4AA00"/>
                </patternFill>
              </fill>
            </x14:dxf>
          </x14:cfRule>
          <x14:cfRule type="expression" priority="2" id="{658B4340-DF6B-49E4-ADA5-11D3DEABF3C2}">
            <xm:f>CALCS│Summary!O123=2</xm:f>
            <x14:dxf>
              <font>
                <b/>
                <i val="0"/>
                <color theme="3" tint="-0.24994659260841701"/>
              </font>
              <fill>
                <patternFill>
                  <bgColor rgb="FFB9C884"/>
                </patternFill>
              </fill>
            </x14:dxf>
          </x14:cfRule>
          <x14:cfRule type="expression" priority="3" id="{AC4EA131-7851-4722-BB21-BB1A9814ADCE}">
            <xm:f>CALCS│Summary!O123=3</xm:f>
            <x14:dxf>
              <font>
                <b/>
                <i val="0"/>
                <color theme="3" tint="-0.24994659260841701"/>
              </font>
              <fill>
                <patternFill>
                  <bgColor rgb="FF709500"/>
                </patternFill>
              </fill>
            </x14:dxf>
          </x14:cfRule>
          <xm:sqref>I22:I25 I7:I10 I12:I20</xm:sqref>
        </x14:conditionalFormatting>
        <x14:conditionalFormatting xmlns:xm="http://schemas.microsoft.com/office/excel/2006/main">
          <x14:cfRule type="expression" priority="701" id="{29E7936C-D963-4B8A-97AD-17D906B93AB4}">
            <xm:f>CALCS│Summary!$H8=1</xm:f>
            <x14:dxf>
              <font>
                <b/>
                <i val="0"/>
                <color theme="3" tint="-0.24994659260841701"/>
              </font>
              <fill>
                <patternFill>
                  <bgColor rgb="FFF4AA00"/>
                </patternFill>
              </fill>
            </x14:dxf>
          </x14:cfRule>
          <x14:cfRule type="expression" priority="702" id="{CA6587E4-8E2E-4121-84DA-65BED73E5FA0}">
            <xm:f>CALCS│Summary!$H8=2</xm:f>
            <x14:dxf>
              <font>
                <b/>
                <i val="0"/>
                <color theme="3" tint="-0.24994659260841701"/>
              </font>
              <fill>
                <patternFill>
                  <bgColor rgb="FFB9C884"/>
                </patternFill>
              </fill>
            </x14:dxf>
          </x14:cfRule>
          <x14:cfRule type="expression" priority="703" id="{6D85B2D7-8A41-435C-B578-4D6E6308FF8F}">
            <xm:f>CALCS│Summary!$H8=3</xm:f>
            <x14:dxf>
              <font>
                <b/>
                <i val="0"/>
                <color theme="3" tint="-0.24994659260841701"/>
              </font>
              <fill>
                <patternFill>
                  <bgColor rgb="FF709500"/>
                </patternFill>
              </fill>
            </x14:dxf>
          </x14:cfRule>
          <xm:sqref>C22:C25 C7:C10 C12:C20</xm:sqref>
        </x14:conditionalFormatting>
        <x14:conditionalFormatting xmlns:xm="http://schemas.microsoft.com/office/excel/2006/main">
          <x14:cfRule type="expression" priority="923" id="{67AD4143-5FAD-4376-BD6A-9A9251118A67}">
            <xm:f>CALCS│Summary!$O8=1</xm:f>
            <x14:dxf>
              <font>
                <b/>
                <i val="0"/>
                <color theme="3" tint="-0.24994659260841701"/>
              </font>
              <fill>
                <patternFill>
                  <bgColor rgb="FFF4AA00"/>
                </patternFill>
              </fill>
            </x14:dxf>
          </x14:cfRule>
          <x14:cfRule type="expression" priority="924" id="{FF7D4293-3C0E-407E-84E7-01F6CE862BB9}">
            <xm:f>CALCS│Summary!$O8=2</xm:f>
            <x14:dxf>
              <font>
                <b/>
                <i val="0"/>
                <color theme="3" tint="-0.24994659260841701"/>
              </font>
              <fill>
                <patternFill>
                  <bgColor rgb="FFB9C884"/>
                </patternFill>
              </fill>
            </x14:dxf>
          </x14:cfRule>
          <x14:cfRule type="expression" priority="925" id="{2B903A73-D81D-433B-878F-724F00B512FC}">
            <xm:f>CALCS│Summary!$O8=3</xm:f>
            <x14:dxf>
              <font>
                <b/>
                <i val="0"/>
                <color theme="3" tint="-0.24994659260841701"/>
              </font>
              <fill>
                <patternFill>
                  <bgColor rgb="FF709500"/>
                </patternFill>
              </fill>
            </x14:dxf>
          </x14:cfRule>
          <xm:sqref>D22:D25 D7:D10 D12:D20</xm:sqref>
        </x14:conditionalFormatting>
        <x14:conditionalFormatting xmlns:xm="http://schemas.microsoft.com/office/excel/2006/main">
          <x14:cfRule type="expression" priority="926" id="{BDDFDB5C-B568-4D74-9A92-AC53C904E8FE}">
            <xm:f>CALCS│Summary!F36=1</xm:f>
            <x14:dxf>
              <font>
                <b/>
                <i val="0"/>
                <color theme="3" tint="-0.24994659260841701"/>
              </font>
              <fill>
                <patternFill>
                  <bgColor rgb="FFF4AA00"/>
                </patternFill>
              </fill>
            </x14:dxf>
          </x14:cfRule>
          <x14:cfRule type="expression" priority="927" id="{BD50E19D-4921-47F1-8EB0-7E698A2CB93F}">
            <xm:f>CALCS│Summary!F36=2</xm:f>
            <x14:dxf>
              <font>
                <b/>
                <i val="0"/>
                <color theme="3"/>
              </font>
              <fill>
                <patternFill>
                  <bgColor rgb="FFB9C884"/>
                </patternFill>
              </fill>
            </x14:dxf>
          </x14:cfRule>
          <x14:cfRule type="expression" priority="928" id="{827A9874-EBA5-4858-B65E-6E0EA5A2EB25}">
            <xm:f>CALCS│Summary!F36=3</xm:f>
            <x14:dxf>
              <font>
                <b/>
                <i val="0"/>
                <color theme="3" tint="-0.24994659260841701"/>
              </font>
              <fill>
                <patternFill>
                  <bgColor rgb="FF709500"/>
                </patternFill>
              </fill>
            </x14:dxf>
          </x14:cfRule>
          <xm:sqref>E22:E25 E7:E10 E12:E20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sheetPr>
  <dimension ref="B1:N165"/>
  <sheetViews>
    <sheetView showGridLines="0" workbookViewId="0">
      <pane ySplit="3" topLeftCell="A4" activePane="bottomLeft" state="frozen"/>
      <selection pane="bottomLeft"/>
    </sheetView>
  </sheetViews>
  <sheetFormatPr defaultColWidth="9" defaultRowHeight="13" x14ac:dyDescent="0.3"/>
  <cols>
    <col min="1" max="2" width="2.58203125" style="8" customWidth="1"/>
    <col min="3" max="3" width="23.08203125" style="8" bestFit="1" customWidth="1"/>
    <col min="4" max="4" width="9.83203125" style="11" customWidth="1"/>
    <col min="5" max="9" width="7.5" style="8" bestFit="1" customWidth="1"/>
    <col min="10" max="10" width="2.58203125" style="8" customWidth="1"/>
    <col min="11" max="11" width="13" style="158" customWidth="1"/>
    <col min="12" max="12" width="15.58203125" style="8" bestFit="1" customWidth="1"/>
    <col min="13" max="13" width="2.58203125" style="8" customWidth="1"/>
    <col min="14" max="16384" width="9" style="8"/>
  </cols>
  <sheetData>
    <row r="1" spans="2:14" x14ac:dyDescent="0.3">
      <c r="K1" s="159"/>
    </row>
    <row r="2" spans="2:14" s="18" customFormat="1" x14ac:dyDescent="0.3">
      <c r="B2" s="19"/>
      <c r="C2" s="19" t="s">
        <v>384</v>
      </c>
      <c r="D2" s="20" t="s">
        <v>385</v>
      </c>
      <c r="E2" s="4" t="s">
        <v>175</v>
      </c>
      <c r="F2" s="4" t="s">
        <v>176</v>
      </c>
      <c r="G2" s="4" t="s">
        <v>177</v>
      </c>
      <c r="H2" s="4" t="s">
        <v>178</v>
      </c>
      <c r="I2" s="4" t="s">
        <v>151</v>
      </c>
      <c r="J2" s="21"/>
      <c r="K2" s="22" t="s">
        <v>41</v>
      </c>
      <c r="L2" s="23"/>
      <c r="M2" s="21"/>
      <c r="N2" s="24"/>
    </row>
    <row r="3" spans="2:14" s="18" customFormat="1" x14ac:dyDescent="0.3">
      <c r="B3" s="25"/>
      <c r="C3" s="23" t="s">
        <v>386</v>
      </c>
      <c r="D3" s="23"/>
      <c r="E3" s="26">
        <v>3</v>
      </c>
      <c r="F3" s="26">
        <v>4</v>
      </c>
      <c r="G3" s="26">
        <v>5</v>
      </c>
      <c r="H3" s="26">
        <v>6</v>
      </c>
      <c r="I3" s="26">
        <v>7</v>
      </c>
      <c r="J3" s="23"/>
      <c r="K3" s="7" t="s">
        <v>387</v>
      </c>
      <c r="L3" s="23"/>
      <c r="M3" s="23"/>
      <c r="N3" s="27"/>
    </row>
    <row r="4" spans="2:14" x14ac:dyDescent="0.3">
      <c r="K4" s="159"/>
    </row>
    <row r="5" spans="2:14" ht="13.5" x14ac:dyDescent="0.35">
      <c r="B5" s="9" t="s">
        <v>388</v>
      </c>
      <c r="C5" s="9"/>
      <c r="D5" s="10"/>
      <c r="E5" s="9"/>
      <c r="F5" s="9"/>
      <c r="G5" s="9"/>
      <c r="H5" s="9"/>
      <c r="I5" s="9"/>
      <c r="J5" s="9"/>
      <c r="K5" s="155"/>
      <c r="L5" s="9"/>
      <c r="M5" s="9"/>
    </row>
    <row r="7" spans="2:14" s="30" customFormat="1" ht="13.5" x14ac:dyDescent="0.35">
      <c r="B7" s="32" t="s">
        <v>389</v>
      </c>
      <c r="C7" s="32"/>
      <c r="D7" s="33"/>
      <c r="E7" s="32"/>
      <c r="F7" s="32"/>
      <c r="G7" s="32"/>
      <c r="H7" s="32"/>
      <c r="I7" s="32"/>
      <c r="J7" s="32"/>
      <c r="K7" s="157" t="s">
        <v>206</v>
      </c>
      <c r="L7" s="32"/>
      <c r="M7" s="32"/>
    </row>
    <row r="9" spans="2:14" x14ac:dyDescent="0.3">
      <c r="C9" s="83" t="s">
        <v>80</v>
      </c>
      <c r="D9" s="11" t="s">
        <v>127</v>
      </c>
      <c r="E9" s="352">
        <v>313.91425529562162</v>
      </c>
      <c r="F9" s="352">
        <v>328.52098377975818</v>
      </c>
      <c r="G9" s="352">
        <v>333.36290350607698</v>
      </c>
      <c r="H9" s="352">
        <v>340.471008378188</v>
      </c>
      <c r="I9" s="352">
        <v>350.91</v>
      </c>
      <c r="K9" s="6"/>
    </row>
    <row r="10" spans="2:14" x14ac:dyDescent="0.3">
      <c r="C10" s="83" t="s">
        <v>82</v>
      </c>
      <c r="D10" s="11" t="s">
        <v>127</v>
      </c>
      <c r="E10" s="352">
        <v>207.07600000000002</v>
      </c>
      <c r="F10" s="352">
        <v>274.709</v>
      </c>
      <c r="G10" s="352">
        <v>296.43099999999998</v>
      </c>
      <c r="H10" s="352">
        <v>298.70100000000002</v>
      </c>
      <c r="I10" s="352">
        <v>280.63600000000002</v>
      </c>
      <c r="K10" s="6"/>
    </row>
    <row r="11" spans="2:14" x14ac:dyDescent="0.3">
      <c r="C11" s="83" t="s">
        <v>85</v>
      </c>
      <c r="D11" s="11" t="s">
        <v>127</v>
      </c>
      <c r="E11" s="352">
        <v>15.416000000000004</v>
      </c>
      <c r="F11" s="352">
        <v>19.379000000000001</v>
      </c>
      <c r="G11" s="352">
        <v>24.488</v>
      </c>
      <c r="H11" s="352">
        <v>23.97</v>
      </c>
      <c r="I11" s="352">
        <v>24.581</v>
      </c>
      <c r="K11" s="6"/>
    </row>
    <row r="12" spans="2:14" x14ac:dyDescent="0.3">
      <c r="C12" s="83" t="s">
        <v>87</v>
      </c>
      <c r="D12" s="11" t="s">
        <v>127</v>
      </c>
      <c r="E12" s="352">
        <v>247.75300000000004</v>
      </c>
      <c r="F12" s="352">
        <v>243.81800000000001</v>
      </c>
      <c r="G12" s="352">
        <v>293.44799999999998</v>
      </c>
      <c r="H12" s="352">
        <v>312.46699999999998</v>
      </c>
      <c r="I12" s="352">
        <v>282.43</v>
      </c>
      <c r="K12" s="6"/>
    </row>
    <row r="13" spans="2:14" x14ac:dyDescent="0.3">
      <c r="C13" s="83" t="s">
        <v>89</v>
      </c>
      <c r="D13" s="11" t="s">
        <v>127</v>
      </c>
      <c r="E13" s="352">
        <v>531.173</v>
      </c>
      <c r="F13" s="352">
        <v>537.52700000000004</v>
      </c>
      <c r="G13" s="352">
        <v>593.33000000000004</v>
      </c>
      <c r="H13" s="352">
        <v>697.67200000000003</v>
      </c>
      <c r="I13" s="352">
        <v>755.07</v>
      </c>
      <c r="K13" s="6"/>
    </row>
    <row r="14" spans="2:14" x14ac:dyDescent="0.3">
      <c r="C14" s="83" t="s">
        <v>91</v>
      </c>
      <c r="D14" s="11" t="s">
        <v>127</v>
      </c>
      <c r="E14" s="352">
        <v>126.7</v>
      </c>
      <c r="F14" s="352">
        <v>151.73500000000001</v>
      </c>
      <c r="G14" s="352">
        <v>149.416</v>
      </c>
      <c r="H14" s="352">
        <v>133.58199999999999</v>
      </c>
      <c r="I14" s="352">
        <v>135.096</v>
      </c>
      <c r="K14" s="6"/>
    </row>
    <row r="15" spans="2:14" x14ac:dyDescent="0.3">
      <c r="C15" s="83" t="s">
        <v>94</v>
      </c>
      <c r="D15" s="11" t="s">
        <v>127</v>
      </c>
      <c r="E15" s="352">
        <v>111.21300000000002</v>
      </c>
      <c r="F15" s="352">
        <v>144.52500000000001</v>
      </c>
      <c r="G15" s="352">
        <v>197.11699999999999</v>
      </c>
      <c r="H15" s="352">
        <v>184.48</v>
      </c>
      <c r="I15" s="352">
        <v>188.74600000000001</v>
      </c>
      <c r="K15" s="6"/>
    </row>
    <row r="16" spans="2:14" x14ac:dyDescent="0.3">
      <c r="C16" s="83" t="s">
        <v>96</v>
      </c>
      <c r="D16" s="11" t="s">
        <v>127</v>
      </c>
      <c r="E16" s="352">
        <v>696.28173939322494</v>
      </c>
      <c r="F16" s="352">
        <v>739.31404815886663</v>
      </c>
      <c r="G16" s="352">
        <v>782.18799999999999</v>
      </c>
      <c r="H16" s="352">
        <v>847.96100000000001</v>
      </c>
      <c r="I16" s="352">
        <v>868.29399999999998</v>
      </c>
      <c r="K16" s="6"/>
    </row>
    <row r="17" spans="2:13" x14ac:dyDescent="0.3">
      <c r="C17" s="83" t="s">
        <v>98</v>
      </c>
      <c r="D17" s="11" t="s">
        <v>127</v>
      </c>
      <c r="E17" s="352">
        <v>478.51788973909515</v>
      </c>
      <c r="F17" s="352">
        <v>531.11174199592801</v>
      </c>
      <c r="G17" s="352">
        <v>518.36227615245696</v>
      </c>
      <c r="H17" s="352">
        <v>555.98011074958401</v>
      </c>
      <c r="I17" s="352">
        <v>525.33088049887397</v>
      </c>
      <c r="K17" s="6"/>
    </row>
    <row r="18" spans="2:13" x14ac:dyDescent="0.3">
      <c r="C18" s="83" t="s">
        <v>100</v>
      </c>
      <c r="D18" s="11" t="s">
        <v>127</v>
      </c>
      <c r="E18" s="352">
        <v>144.685981739071</v>
      </c>
      <c r="F18" s="352">
        <v>137.433018260929</v>
      </c>
      <c r="G18" s="352">
        <v>126.252</v>
      </c>
      <c r="H18" s="352">
        <v>132.60000447654201</v>
      </c>
      <c r="I18" s="352">
        <v>121.808809151877</v>
      </c>
      <c r="K18" s="6"/>
    </row>
    <row r="19" spans="2:13" x14ac:dyDescent="0.3">
      <c r="C19" s="83" t="s">
        <v>102</v>
      </c>
      <c r="D19" s="11" t="s">
        <v>127</v>
      </c>
      <c r="E19" s="352">
        <v>264.58399999999995</v>
      </c>
      <c r="F19" s="352">
        <v>296.74700000000001</v>
      </c>
      <c r="G19" s="352">
        <v>321.09300000000002</v>
      </c>
      <c r="H19" s="352">
        <v>370.05200000000002</v>
      </c>
      <c r="I19" s="352">
        <v>358.26499999999999</v>
      </c>
      <c r="K19" s="6"/>
    </row>
    <row r="20" spans="2:13" x14ac:dyDescent="0.3">
      <c r="C20" s="83" t="s">
        <v>104</v>
      </c>
      <c r="D20" s="11" t="s">
        <v>127</v>
      </c>
      <c r="E20" s="352">
        <v>216.31100000000004</v>
      </c>
      <c r="F20" s="352">
        <v>239.81399999999999</v>
      </c>
      <c r="G20" s="352">
        <v>223.73</v>
      </c>
      <c r="H20" s="352">
        <v>207.74851372005</v>
      </c>
      <c r="I20" s="352">
        <v>200.833488277675</v>
      </c>
      <c r="K20" s="6"/>
    </row>
    <row r="21" spans="2:13" x14ac:dyDescent="0.3">
      <c r="C21" s="83" t="s">
        <v>106</v>
      </c>
      <c r="D21" s="11" t="s">
        <v>127</v>
      </c>
      <c r="E21" s="352">
        <v>63.971667865861491</v>
      </c>
      <c r="F21" s="352">
        <v>75.318873329349941</v>
      </c>
      <c r="G21" s="352">
        <v>91.077930582921567</v>
      </c>
      <c r="H21" s="352">
        <v>92.876174397740968</v>
      </c>
      <c r="I21" s="352">
        <v>103.22440969693494</v>
      </c>
      <c r="K21" s="6"/>
    </row>
    <row r="22" spans="2:13" x14ac:dyDescent="0.3">
      <c r="C22" s="83" t="s">
        <v>108</v>
      </c>
      <c r="D22" s="11" t="s">
        <v>127</v>
      </c>
      <c r="E22" s="352">
        <v>24.632999999999996</v>
      </c>
      <c r="F22" s="352">
        <v>28.802</v>
      </c>
      <c r="G22" s="352">
        <v>22.728000000000002</v>
      </c>
      <c r="H22" s="352">
        <v>31.155000000000001</v>
      </c>
      <c r="I22" s="352">
        <v>30.21</v>
      </c>
      <c r="K22" s="6"/>
    </row>
    <row r="23" spans="2:13" x14ac:dyDescent="0.3">
      <c r="C23" s="83" t="s">
        <v>112</v>
      </c>
      <c r="D23" s="11" t="s">
        <v>127</v>
      </c>
      <c r="E23" s="352">
        <v>143.29000000000002</v>
      </c>
      <c r="F23" s="352">
        <v>142.97300000000001</v>
      </c>
      <c r="G23" s="352">
        <v>148.36099999999999</v>
      </c>
      <c r="H23" s="352">
        <v>154.39400000000001</v>
      </c>
      <c r="I23" s="352">
        <v>153.185</v>
      </c>
      <c r="K23" s="6"/>
    </row>
    <row r="24" spans="2:13" x14ac:dyDescent="0.3">
      <c r="C24" s="83" t="s">
        <v>114</v>
      </c>
      <c r="D24" s="11" t="s">
        <v>127</v>
      </c>
      <c r="E24" s="352">
        <v>72.573732321234701</v>
      </c>
      <c r="F24" s="352">
        <v>76.023713386785701</v>
      </c>
      <c r="G24" s="352">
        <v>81.931403478126597</v>
      </c>
      <c r="H24" s="352">
        <v>80.834999999999994</v>
      </c>
      <c r="I24" s="352">
        <v>78.713999999999999</v>
      </c>
      <c r="K24" s="6"/>
    </row>
    <row r="25" spans="2:13" x14ac:dyDescent="0.3">
      <c r="C25" s="83" t="s">
        <v>110</v>
      </c>
      <c r="D25" s="11" t="s">
        <v>127</v>
      </c>
      <c r="E25" s="352">
        <v>38.804999999999993</v>
      </c>
      <c r="F25" s="352">
        <v>42.835999999999999</v>
      </c>
      <c r="G25" s="352">
        <v>44.158999999999999</v>
      </c>
      <c r="H25" s="352">
        <v>45.481000000000002</v>
      </c>
      <c r="I25" s="352">
        <v>51.856999999999999</v>
      </c>
      <c r="K25" s="6"/>
    </row>
    <row r="26" spans="2:13" x14ac:dyDescent="0.3">
      <c r="C26" s="83"/>
      <c r="E26" s="294"/>
      <c r="F26" s="353"/>
      <c r="G26" s="353"/>
      <c r="H26" s="353"/>
      <c r="I26" s="353"/>
    </row>
    <row r="27" spans="2:13" s="30" customFormat="1" ht="13.5" x14ac:dyDescent="0.35">
      <c r="B27" s="32" t="s">
        <v>390</v>
      </c>
      <c r="C27" s="116"/>
      <c r="D27" s="33"/>
      <c r="E27" s="354"/>
      <c r="F27" s="355"/>
      <c r="G27" s="355"/>
      <c r="H27" s="355"/>
      <c r="I27" s="355"/>
      <c r="J27" s="32"/>
      <c r="K27" s="157" t="s">
        <v>198</v>
      </c>
      <c r="L27" s="32"/>
      <c r="M27" s="32"/>
    </row>
    <row r="28" spans="2:13" x14ac:dyDescent="0.3">
      <c r="C28" s="83"/>
      <c r="E28" s="294"/>
      <c r="F28" s="353"/>
      <c r="G28" s="353"/>
      <c r="H28" s="353"/>
      <c r="I28" s="353"/>
    </row>
    <row r="29" spans="2:13" x14ac:dyDescent="0.3">
      <c r="C29" s="83" t="s">
        <v>80</v>
      </c>
      <c r="D29" s="11" t="s">
        <v>127</v>
      </c>
      <c r="E29" s="352">
        <v>405.39537373366608</v>
      </c>
      <c r="F29" s="352">
        <v>420.2826862022265</v>
      </c>
      <c r="G29" s="352">
        <v>468.65737499450699</v>
      </c>
      <c r="H29" s="352">
        <v>433.36580779201</v>
      </c>
      <c r="I29" s="352">
        <v>426.28899999999999</v>
      </c>
      <c r="K29" s="6"/>
    </row>
    <row r="30" spans="2:13" x14ac:dyDescent="0.3">
      <c r="C30" s="83" t="s">
        <v>82</v>
      </c>
      <c r="D30" s="11" t="s">
        <v>127</v>
      </c>
      <c r="E30" s="352">
        <v>223.81799999999998</v>
      </c>
      <c r="F30" s="352">
        <v>264.92399999999998</v>
      </c>
      <c r="G30" s="352">
        <v>278.69900000000001</v>
      </c>
      <c r="H30" s="352">
        <v>304.12299999999999</v>
      </c>
      <c r="I30" s="352">
        <v>285.53300000000002</v>
      </c>
      <c r="K30" s="6"/>
    </row>
    <row r="31" spans="2:13" x14ac:dyDescent="0.3">
      <c r="C31" s="83" t="s">
        <v>85</v>
      </c>
      <c r="D31" s="11" t="s">
        <v>127</v>
      </c>
      <c r="E31" s="356"/>
      <c r="F31" s="357"/>
      <c r="G31" s="357"/>
      <c r="H31" s="352">
        <v>2.5110000000000001</v>
      </c>
      <c r="I31" s="352">
        <v>4.5209999999999999</v>
      </c>
      <c r="K31" s="6"/>
    </row>
    <row r="32" spans="2:13" x14ac:dyDescent="0.3">
      <c r="C32" s="83" t="s">
        <v>87</v>
      </c>
      <c r="D32" s="11" t="s">
        <v>127</v>
      </c>
      <c r="E32" s="352">
        <v>162.39400000000001</v>
      </c>
      <c r="F32" s="352">
        <v>152.291</v>
      </c>
      <c r="G32" s="352">
        <v>149.99</v>
      </c>
      <c r="H32" s="352">
        <v>155.059</v>
      </c>
      <c r="I32" s="352">
        <v>152.19999999999999</v>
      </c>
      <c r="K32" s="6"/>
    </row>
    <row r="33" spans="2:13" x14ac:dyDescent="0.3">
      <c r="C33" s="83" t="s">
        <v>89</v>
      </c>
      <c r="D33" s="11" t="s">
        <v>127</v>
      </c>
      <c r="E33" s="352">
        <v>432.83699999999999</v>
      </c>
      <c r="F33" s="352">
        <v>447.97</v>
      </c>
      <c r="G33" s="352">
        <v>482.20100000000002</v>
      </c>
      <c r="H33" s="352">
        <v>502.57499999999999</v>
      </c>
      <c r="I33" s="352">
        <v>494.73</v>
      </c>
      <c r="K33" s="6"/>
    </row>
    <row r="34" spans="2:13" x14ac:dyDescent="0.3">
      <c r="C34" s="83" t="s">
        <v>91</v>
      </c>
      <c r="D34" s="11" t="s">
        <v>127</v>
      </c>
      <c r="E34" s="352">
        <v>147.4</v>
      </c>
      <c r="F34" s="352">
        <v>165.79</v>
      </c>
      <c r="G34" s="352">
        <v>148.256</v>
      </c>
      <c r="H34" s="352">
        <v>137.44900000000001</v>
      </c>
      <c r="I34" s="352">
        <v>129.00700000000001</v>
      </c>
      <c r="K34" s="6"/>
    </row>
    <row r="35" spans="2:13" x14ac:dyDescent="0.3">
      <c r="C35" s="83" t="s">
        <v>94</v>
      </c>
      <c r="D35" s="11" t="s">
        <v>127</v>
      </c>
      <c r="E35" s="352">
        <v>302.26599999999996</v>
      </c>
      <c r="F35" s="352">
        <v>325.64600000000002</v>
      </c>
      <c r="G35" s="352">
        <v>352.86200000000002</v>
      </c>
      <c r="H35" s="352">
        <v>380.851</v>
      </c>
      <c r="I35" s="352">
        <v>425.67099999999999</v>
      </c>
      <c r="K35" s="6"/>
    </row>
    <row r="36" spans="2:13" x14ac:dyDescent="0.3">
      <c r="C36" s="83" t="s">
        <v>96</v>
      </c>
      <c r="D36" s="11" t="s">
        <v>127</v>
      </c>
      <c r="E36" s="352">
        <v>901.55223776616867</v>
      </c>
      <c r="F36" s="352">
        <v>809.63292465804852</v>
      </c>
      <c r="G36" s="352">
        <v>778.19</v>
      </c>
      <c r="H36" s="352">
        <v>734.78300000000002</v>
      </c>
      <c r="I36" s="352">
        <v>671.15200000000004</v>
      </c>
      <c r="K36" s="6"/>
    </row>
    <row r="37" spans="2:13" x14ac:dyDescent="0.3">
      <c r="C37" s="83" t="s">
        <v>98</v>
      </c>
      <c r="D37" s="11" t="s">
        <v>127</v>
      </c>
      <c r="E37" s="352">
        <v>674.95509709920793</v>
      </c>
      <c r="F37" s="352">
        <v>629.88043840741898</v>
      </c>
      <c r="G37" s="352">
        <v>619.33782856713299</v>
      </c>
      <c r="H37" s="352">
        <v>585.22720591583197</v>
      </c>
      <c r="I37" s="352">
        <v>521.52499944096496</v>
      </c>
      <c r="K37" s="6"/>
    </row>
    <row r="38" spans="2:13" x14ac:dyDescent="0.3">
      <c r="C38" s="83" t="s">
        <v>100</v>
      </c>
      <c r="D38" s="11" t="s">
        <v>127</v>
      </c>
      <c r="E38" s="352">
        <v>159.75547083308209</v>
      </c>
      <c r="F38" s="352">
        <v>169.07552916691799</v>
      </c>
      <c r="G38" s="352">
        <v>212.17699999999999</v>
      </c>
      <c r="H38" s="352">
        <v>201.31841202723601</v>
      </c>
      <c r="I38" s="352">
        <v>217.34232430375701</v>
      </c>
      <c r="K38" s="6"/>
    </row>
    <row r="39" spans="2:13" x14ac:dyDescent="0.3">
      <c r="C39" s="83" t="s">
        <v>102</v>
      </c>
      <c r="D39" s="11" t="s">
        <v>127</v>
      </c>
      <c r="E39" s="352">
        <v>297.70900000000006</v>
      </c>
      <c r="F39" s="352">
        <v>378.73200000000003</v>
      </c>
      <c r="G39" s="352">
        <v>370.59300000000002</v>
      </c>
      <c r="H39" s="352">
        <v>449.82299999999998</v>
      </c>
      <c r="I39" s="352">
        <v>421.13900000000001</v>
      </c>
      <c r="K39" s="6"/>
    </row>
    <row r="40" spans="2:13" x14ac:dyDescent="0.3">
      <c r="C40" s="83"/>
      <c r="E40" s="294"/>
      <c r="F40" s="353"/>
      <c r="G40" s="353"/>
      <c r="H40" s="353"/>
      <c r="I40" s="353"/>
    </row>
    <row r="41" spans="2:13" s="30" customFormat="1" ht="13.5" x14ac:dyDescent="0.35">
      <c r="B41" s="32" t="s">
        <v>391</v>
      </c>
      <c r="C41" s="116"/>
      <c r="D41" s="33"/>
      <c r="E41" s="354"/>
      <c r="F41" s="355"/>
      <c r="G41" s="355"/>
      <c r="H41" s="355"/>
      <c r="I41" s="355"/>
      <c r="J41" s="32"/>
      <c r="K41" s="157"/>
      <c r="L41" s="32"/>
      <c r="M41" s="32"/>
    </row>
    <row r="42" spans="2:13" x14ac:dyDescent="0.3">
      <c r="C42" s="83"/>
      <c r="E42" s="294"/>
      <c r="F42" s="353"/>
      <c r="G42" s="353"/>
      <c r="H42" s="353"/>
      <c r="I42" s="353"/>
    </row>
    <row r="43" spans="2:13" x14ac:dyDescent="0.3">
      <c r="C43" s="83" t="s">
        <v>96</v>
      </c>
      <c r="D43" s="11" t="s">
        <v>127</v>
      </c>
      <c r="E43" s="352">
        <v>96.3870389339734</v>
      </c>
      <c r="F43" s="352">
        <v>43.736611992915471</v>
      </c>
      <c r="G43" s="352">
        <v>36.247</v>
      </c>
      <c r="H43" s="352">
        <v>40.716999999999999</v>
      </c>
      <c r="I43" s="352">
        <v>18.335000000000001</v>
      </c>
      <c r="K43" s="6" t="s">
        <v>200</v>
      </c>
    </row>
    <row r="44" spans="2:13" x14ac:dyDescent="0.3">
      <c r="E44" s="353"/>
      <c r="F44" s="353"/>
      <c r="G44" s="353"/>
      <c r="H44" s="353"/>
      <c r="I44" s="353"/>
    </row>
    <row r="45" spans="2:13" ht="13.5" x14ac:dyDescent="0.35">
      <c r="B45" s="9" t="s">
        <v>392</v>
      </c>
      <c r="C45" s="9"/>
      <c r="D45" s="10"/>
      <c r="E45" s="358"/>
      <c r="F45" s="358"/>
      <c r="G45" s="358"/>
      <c r="H45" s="358"/>
      <c r="I45" s="358"/>
      <c r="J45" s="9"/>
      <c r="K45" s="155"/>
      <c r="L45" s="9"/>
      <c r="M45" s="9"/>
    </row>
    <row r="46" spans="2:13" x14ac:dyDescent="0.3">
      <c r="E46" s="353"/>
      <c r="F46" s="353"/>
      <c r="G46" s="353"/>
      <c r="H46" s="353"/>
      <c r="I46" s="353"/>
    </row>
    <row r="47" spans="2:13" s="30" customFormat="1" ht="13.5" x14ac:dyDescent="0.35">
      <c r="B47" s="32" t="s">
        <v>393</v>
      </c>
      <c r="C47" s="32"/>
      <c r="D47" s="33"/>
      <c r="E47" s="355"/>
      <c r="F47" s="355"/>
      <c r="G47" s="355"/>
      <c r="H47" s="355"/>
      <c r="I47" s="355"/>
      <c r="J47" s="32"/>
      <c r="K47" s="157" t="s">
        <v>207</v>
      </c>
      <c r="L47" s="32"/>
      <c r="M47" s="32"/>
    </row>
    <row r="48" spans="2:13" x14ac:dyDescent="0.3">
      <c r="E48" s="353"/>
      <c r="F48" s="353"/>
      <c r="G48" s="353"/>
      <c r="H48" s="353"/>
      <c r="I48" s="353"/>
    </row>
    <row r="49" spans="3:11" x14ac:dyDescent="0.3">
      <c r="C49" s="8" t="s">
        <v>80</v>
      </c>
      <c r="D49" s="11" t="s">
        <v>127</v>
      </c>
      <c r="E49" s="352">
        <v>313.91425529562162</v>
      </c>
      <c r="F49" s="352">
        <v>642.43523907537974</v>
      </c>
      <c r="G49" s="352">
        <v>975.79779393008096</v>
      </c>
      <c r="H49" s="352">
        <v>1316.2688023082701</v>
      </c>
      <c r="I49" s="352">
        <v>1667.1790000000001</v>
      </c>
      <c r="K49" s="6"/>
    </row>
    <row r="50" spans="3:11" x14ac:dyDescent="0.3">
      <c r="C50" s="8" t="s">
        <v>82</v>
      </c>
      <c r="D50" s="11" t="s">
        <v>127</v>
      </c>
      <c r="E50" s="352">
        <v>207.07600000000002</v>
      </c>
      <c r="F50" s="352">
        <v>481.78500000000003</v>
      </c>
      <c r="G50" s="352">
        <v>778.21600000000001</v>
      </c>
      <c r="H50" s="352">
        <v>1076.9169999999999</v>
      </c>
      <c r="I50" s="352">
        <v>1354.787</v>
      </c>
      <c r="K50" s="6"/>
    </row>
    <row r="51" spans="3:11" x14ac:dyDescent="0.3">
      <c r="C51" s="8" t="s">
        <v>85</v>
      </c>
      <c r="D51" s="11" t="s">
        <v>127</v>
      </c>
      <c r="E51" s="352">
        <v>15.416000000000004</v>
      </c>
      <c r="F51" s="352">
        <v>34.796000000000006</v>
      </c>
      <c r="G51" s="352">
        <v>59.283999999999999</v>
      </c>
      <c r="H51" s="352">
        <v>83.254000000000005</v>
      </c>
      <c r="I51" s="352">
        <v>107.83499999999999</v>
      </c>
      <c r="K51" s="6"/>
    </row>
    <row r="52" spans="3:11" x14ac:dyDescent="0.3">
      <c r="C52" s="8" t="s">
        <v>87</v>
      </c>
      <c r="D52" s="11" t="s">
        <v>127</v>
      </c>
      <c r="E52" s="352">
        <v>247.75300000000004</v>
      </c>
      <c r="F52" s="352">
        <v>491.57100000000003</v>
      </c>
      <c r="G52" s="352">
        <v>785.01900000000001</v>
      </c>
      <c r="H52" s="352">
        <v>1097.4860000000001</v>
      </c>
      <c r="I52" s="352">
        <v>1379.9159999999999</v>
      </c>
      <c r="K52" s="6"/>
    </row>
    <row r="53" spans="3:11" x14ac:dyDescent="0.3">
      <c r="C53" s="8" t="s">
        <v>89</v>
      </c>
      <c r="D53" s="11" t="s">
        <v>127</v>
      </c>
      <c r="E53" s="352">
        <v>531.173</v>
      </c>
      <c r="F53" s="352">
        <v>1068.693</v>
      </c>
      <c r="G53" s="352">
        <v>1662.0229999999999</v>
      </c>
      <c r="H53" s="352">
        <v>2359.6950000000002</v>
      </c>
      <c r="I53" s="352">
        <v>3114.7649999999999</v>
      </c>
      <c r="K53" s="6"/>
    </row>
    <row r="54" spans="3:11" x14ac:dyDescent="0.3">
      <c r="C54" s="8" t="s">
        <v>91</v>
      </c>
      <c r="D54" s="11" t="s">
        <v>127</v>
      </c>
      <c r="E54" s="352">
        <v>126.7</v>
      </c>
      <c r="F54" s="352">
        <v>278.39999999999998</v>
      </c>
      <c r="G54" s="352">
        <v>427.91899999999998</v>
      </c>
      <c r="H54" s="352">
        <v>561.4</v>
      </c>
      <c r="I54" s="352">
        <v>696.5</v>
      </c>
      <c r="K54" s="6"/>
    </row>
    <row r="55" spans="3:11" x14ac:dyDescent="0.3">
      <c r="C55" s="8" t="s">
        <v>94</v>
      </c>
      <c r="D55" s="11" t="s">
        <v>127</v>
      </c>
      <c r="E55" s="352">
        <v>111.21300000000002</v>
      </c>
      <c r="F55" s="352">
        <v>255.73800000000003</v>
      </c>
      <c r="G55" s="352">
        <v>452.85500000000002</v>
      </c>
      <c r="H55" s="352">
        <v>637.41</v>
      </c>
      <c r="I55" s="352">
        <v>826.15499999999997</v>
      </c>
      <c r="K55" s="6"/>
    </row>
    <row r="56" spans="3:11" x14ac:dyDescent="0.3">
      <c r="C56" s="8" t="s">
        <v>96</v>
      </c>
      <c r="D56" s="11" t="s">
        <v>127</v>
      </c>
      <c r="E56" s="352">
        <v>696.28173939322494</v>
      </c>
      <c r="F56" s="352">
        <v>1435.5957875520917</v>
      </c>
      <c r="G56" s="352">
        <v>2217.7840000000001</v>
      </c>
      <c r="H56" s="352">
        <v>3065.7449999999999</v>
      </c>
      <c r="I56" s="352">
        <v>3934.0390000000002</v>
      </c>
      <c r="K56" s="6"/>
    </row>
    <row r="57" spans="3:11" x14ac:dyDescent="0.3">
      <c r="C57" s="8" t="s">
        <v>98</v>
      </c>
      <c r="D57" s="11" t="s">
        <v>127</v>
      </c>
      <c r="E57" s="352">
        <v>478.51788973909515</v>
      </c>
      <c r="F57" s="352">
        <v>1009.6296317350232</v>
      </c>
      <c r="G57" s="352">
        <v>1527.99190788748</v>
      </c>
      <c r="H57" s="352">
        <v>2083.97201863706</v>
      </c>
      <c r="I57" s="352">
        <v>2609.3028991359301</v>
      </c>
      <c r="K57" s="6"/>
    </row>
    <row r="58" spans="3:11" x14ac:dyDescent="0.3">
      <c r="C58" s="8" t="s">
        <v>100</v>
      </c>
      <c r="D58" s="11" t="s">
        <v>127</v>
      </c>
      <c r="E58" s="352">
        <v>144.685981739071</v>
      </c>
      <c r="F58" s="352">
        <v>282.11900000000003</v>
      </c>
      <c r="G58" s="352">
        <v>408.37099999999998</v>
      </c>
      <c r="H58" s="352">
        <v>540.96910306539496</v>
      </c>
      <c r="I58" s="352">
        <v>662.77791221727102</v>
      </c>
      <c r="K58" s="6"/>
    </row>
    <row r="59" spans="3:11" x14ac:dyDescent="0.3">
      <c r="C59" s="8" t="s">
        <v>102</v>
      </c>
      <c r="D59" s="11" t="s">
        <v>127</v>
      </c>
      <c r="E59" s="352">
        <v>264.58399999999995</v>
      </c>
      <c r="F59" s="352">
        <v>561.3309999999999</v>
      </c>
      <c r="G59" s="352">
        <v>882.42399999999998</v>
      </c>
      <c r="H59" s="352">
        <v>1252.4760000000001</v>
      </c>
      <c r="I59" s="352">
        <v>1610.741</v>
      </c>
      <c r="K59" s="6"/>
    </row>
    <row r="60" spans="3:11" x14ac:dyDescent="0.3">
      <c r="C60" s="8" t="s">
        <v>104</v>
      </c>
      <c r="D60" s="11" t="s">
        <v>127</v>
      </c>
      <c r="E60" s="352">
        <v>216.31100000000004</v>
      </c>
      <c r="F60" s="352">
        <v>456.125</v>
      </c>
      <c r="G60" s="352">
        <v>679.85500000000002</v>
      </c>
      <c r="H60" s="352">
        <v>885.73109060977197</v>
      </c>
      <c r="I60" s="352">
        <v>1086.5645788874499</v>
      </c>
      <c r="K60" s="6"/>
    </row>
    <row r="61" spans="3:11" x14ac:dyDescent="0.3">
      <c r="C61" s="8" t="s">
        <v>106</v>
      </c>
      <c r="D61" s="11" t="s">
        <v>127</v>
      </c>
      <c r="E61" s="352">
        <v>63.971667865861491</v>
      </c>
      <c r="F61" s="352">
        <v>139.29054119521143</v>
      </c>
      <c r="G61" s="352">
        <v>230.368471778133</v>
      </c>
      <c r="H61" s="352">
        <v>323.24464617587398</v>
      </c>
      <c r="I61" s="352">
        <v>426.46905587280889</v>
      </c>
      <c r="K61" s="6"/>
    </row>
    <row r="62" spans="3:11" x14ac:dyDescent="0.3">
      <c r="C62" s="8" t="s">
        <v>108</v>
      </c>
      <c r="D62" s="11" t="s">
        <v>127</v>
      </c>
      <c r="E62" s="352">
        <v>24.632999999999996</v>
      </c>
      <c r="F62" s="352">
        <v>53.434999999999995</v>
      </c>
      <c r="G62" s="352">
        <v>76.162999999999997</v>
      </c>
      <c r="H62" s="352">
        <v>107.31699999999999</v>
      </c>
      <c r="I62" s="352">
        <v>137.52000000000001</v>
      </c>
      <c r="K62" s="6"/>
    </row>
    <row r="63" spans="3:11" x14ac:dyDescent="0.3">
      <c r="C63" s="8" t="s">
        <v>112</v>
      </c>
      <c r="D63" s="11" t="s">
        <v>127</v>
      </c>
      <c r="E63" s="352">
        <v>143.29000000000002</v>
      </c>
      <c r="F63" s="352">
        <v>286.26300000000003</v>
      </c>
      <c r="G63" s="352">
        <v>434.62400000000002</v>
      </c>
      <c r="H63" s="352">
        <v>589.01800000000003</v>
      </c>
      <c r="I63" s="352">
        <v>742.20299999999997</v>
      </c>
      <c r="K63" s="6"/>
    </row>
    <row r="64" spans="3:11" x14ac:dyDescent="0.3">
      <c r="C64" s="8" t="s">
        <v>114</v>
      </c>
      <c r="D64" s="11" t="s">
        <v>127</v>
      </c>
      <c r="E64" s="352">
        <v>72.573732321234701</v>
      </c>
      <c r="F64" s="352">
        <v>148.59744570802042</v>
      </c>
      <c r="G64" s="352">
        <v>230.528849186147</v>
      </c>
      <c r="H64" s="352">
        <v>311.36399999999998</v>
      </c>
      <c r="I64" s="352">
        <v>390.07799999999997</v>
      </c>
      <c r="K64" s="6"/>
    </row>
    <row r="65" spans="2:13" x14ac:dyDescent="0.3">
      <c r="C65" s="8" t="s">
        <v>110</v>
      </c>
      <c r="D65" s="11" t="s">
        <v>127</v>
      </c>
      <c r="E65" s="352">
        <v>38.804999999999993</v>
      </c>
      <c r="F65" s="352">
        <v>81.640999999999991</v>
      </c>
      <c r="G65" s="352">
        <v>125.8</v>
      </c>
      <c r="H65" s="352">
        <v>171.28100000000001</v>
      </c>
      <c r="I65" s="352">
        <v>219.27600000000001</v>
      </c>
      <c r="K65" s="6"/>
    </row>
    <row r="66" spans="2:13" x14ac:dyDescent="0.3">
      <c r="E66" s="294"/>
      <c r="F66" s="353"/>
      <c r="G66" s="353"/>
      <c r="H66" s="353"/>
      <c r="I66" s="353"/>
    </row>
    <row r="67" spans="2:13" s="30" customFormat="1" ht="13.5" x14ac:dyDescent="0.35">
      <c r="B67" s="32" t="s">
        <v>394</v>
      </c>
      <c r="C67" s="32"/>
      <c r="D67" s="33"/>
      <c r="E67" s="354"/>
      <c r="F67" s="355"/>
      <c r="G67" s="355"/>
      <c r="H67" s="355"/>
      <c r="I67" s="355"/>
      <c r="J67" s="32"/>
      <c r="K67" s="157" t="s">
        <v>199</v>
      </c>
      <c r="L67" s="32"/>
      <c r="M67" s="32"/>
    </row>
    <row r="68" spans="2:13" x14ac:dyDescent="0.3">
      <c r="E68" s="294"/>
      <c r="F68" s="353"/>
      <c r="G68" s="353"/>
      <c r="H68" s="353"/>
      <c r="I68" s="353"/>
    </row>
    <row r="69" spans="2:13" x14ac:dyDescent="0.3">
      <c r="C69" s="8" t="s">
        <v>80</v>
      </c>
      <c r="D69" s="11" t="s">
        <v>127</v>
      </c>
      <c r="E69" s="352">
        <v>405.39537373366608</v>
      </c>
      <c r="F69" s="352">
        <v>825.67805993589263</v>
      </c>
      <c r="G69" s="352">
        <v>1294.33583738166</v>
      </c>
      <c r="H69" s="352">
        <v>1727.7016451736699</v>
      </c>
      <c r="I69" s="352">
        <v>2153.991</v>
      </c>
      <c r="K69" s="6"/>
    </row>
    <row r="70" spans="2:13" x14ac:dyDescent="0.3">
      <c r="C70" s="8" t="s">
        <v>82</v>
      </c>
      <c r="D70" s="11" t="s">
        <v>127</v>
      </c>
      <c r="E70" s="352">
        <v>223.81799999999998</v>
      </c>
      <c r="F70" s="352">
        <v>488.74199999999996</v>
      </c>
      <c r="G70" s="352">
        <v>767.44100000000003</v>
      </c>
      <c r="H70" s="352">
        <v>1071.5640000000001</v>
      </c>
      <c r="I70" s="352">
        <v>1353.3340000000001</v>
      </c>
      <c r="K70" s="6"/>
    </row>
    <row r="71" spans="2:13" x14ac:dyDescent="0.3">
      <c r="C71" s="8" t="s">
        <v>85</v>
      </c>
      <c r="D71" s="11" t="s">
        <v>127</v>
      </c>
      <c r="E71" s="356"/>
      <c r="F71" s="357"/>
      <c r="G71" s="357"/>
      <c r="H71" s="352">
        <v>2.5110000000000001</v>
      </c>
      <c r="I71" s="352">
        <v>7.032</v>
      </c>
      <c r="K71" s="6"/>
    </row>
    <row r="72" spans="2:13" x14ac:dyDescent="0.3">
      <c r="C72" s="8" t="s">
        <v>87</v>
      </c>
      <c r="D72" s="11" t="s">
        <v>127</v>
      </c>
      <c r="E72" s="352">
        <v>162.39400000000001</v>
      </c>
      <c r="F72" s="352">
        <v>314.685</v>
      </c>
      <c r="G72" s="352">
        <v>464.67500000000001</v>
      </c>
      <c r="H72" s="352">
        <v>619.73400000000004</v>
      </c>
      <c r="I72" s="352">
        <v>771.93399999999997</v>
      </c>
      <c r="K72" s="6"/>
    </row>
    <row r="73" spans="2:13" x14ac:dyDescent="0.3">
      <c r="C73" s="8" t="s">
        <v>89</v>
      </c>
      <c r="D73" s="11" t="s">
        <v>127</v>
      </c>
      <c r="E73" s="352">
        <v>432.83699999999999</v>
      </c>
      <c r="F73" s="352">
        <v>880.80700000000002</v>
      </c>
      <c r="G73" s="352">
        <v>1363.008</v>
      </c>
      <c r="H73" s="352">
        <v>1865.5830000000001</v>
      </c>
      <c r="I73" s="352">
        <v>2360.3130000000001</v>
      </c>
      <c r="K73" s="6"/>
    </row>
    <row r="74" spans="2:13" x14ac:dyDescent="0.3">
      <c r="C74" s="8" t="s">
        <v>91</v>
      </c>
      <c r="D74" s="11" t="s">
        <v>127</v>
      </c>
      <c r="E74" s="352">
        <v>147.4</v>
      </c>
      <c r="F74" s="352">
        <v>313.2</v>
      </c>
      <c r="G74" s="352">
        <v>461.5</v>
      </c>
      <c r="H74" s="352">
        <v>598.9</v>
      </c>
      <c r="I74" s="352">
        <v>727.9</v>
      </c>
      <c r="K74" s="6"/>
    </row>
    <row r="75" spans="2:13" x14ac:dyDescent="0.3">
      <c r="C75" s="8" t="s">
        <v>94</v>
      </c>
      <c r="D75" s="11" t="s">
        <v>127</v>
      </c>
      <c r="E75" s="352">
        <v>302.26599999999996</v>
      </c>
      <c r="F75" s="352">
        <v>627.91200000000003</v>
      </c>
      <c r="G75" s="352">
        <v>980.774</v>
      </c>
      <c r="H75" s="352">
        <v>1361.625</v>
      </c>
      <c r="I75" s="352">
        <v>1787.296</v>
      </c>
      <c r="K75" s="6"/>
    </row>
    <row r="76" spans="2:13" x14ac:dyDescent="0.3">
      <c r="C76" s="8" t="s">
        <v>96</v>
      </c>
      <c r="D76" s="11" t="s">
        <v>127</v>
      </c>
      <c r="E76" s="352">
        <v>901.55223776616867</v>
      </c>
      <c r="F76" s="352">
        <v>1711.1851624242172</v>
      </c>
      <c r="G76" s="352">
        <v>2489.375</v>
      </c>
      <c r="H76" s="352">
        <v>3224.1579999999999</v>
      </c>
      <c r="I76" s="352">
        <v>3895.3090000000002</v>
      </c>
      <c r="K76" s="6"/>
    </row>
    <row r="77" spans="2:13" x14ac:dyDescent="0.3">
      <c r="C77" s="8" t="s">
        <v>98</v>
      </c>
      <c r="D77" s="11" t="s">
        <v>127</v>
      </c>
      <c r="E77" s="352">
        <v>674.95509709920793</v>
      </c>
      <c r="F77" s="352">
        <v>1304.8355355066269</v>
      </c>
      <c r="G77" s="352">
        <v>1924.17336407376</v>
      </c>
      <c r="H77" s="352">
        <v>2509.4005699895902</v>
      </c>
      <c r="I77" s="352">
        <v>3030.9255694305598</v>
      </c>
      <c r="K77" s="6"/>
    </row>
    <row r="78" spans="2:13" x14ac:dyDescent="0.3">
      <c r="C78" s="8" t="s">
        <v>100</v>
      </c>
      <c r="D78" s="11" t="s">
        <v>127</v>
      </c>
      <c r="E78" s="352">
        <v>159.75547083308209</v>
      </c>
      <c r="F78" s="352">
        <v>328.83100000000007</v>
      </c>
      <c r="G78" s="352">
        <v>541.00800000000004</v>
      </c>
      <c r="H78" s="352">
        <v>742.32652017205703</v>
      </c>
      <c r="I78" s="352">
        <v>959.66884447581401</v>
      </c>
      <c r="K78" s="6"/>
    </row>
    <row r="79" spans="2:13" x14ac:dyDescent="0.3">
      <c r="C79" s="8" t="s">
        <v>102</v>
      </c>
      <c r="D79" s="11" t="s">
        <v>127</v>
      </c>
      <c r="E79" s="352">
        <v>297.70900000000006</v>
      </c>
      <c r="F79" s="352">
        <v>676.44100000000003</v>
      </c>
      <c r="G79" s="352">
        <v>1047.0340000000001</v>
      </c>
      <c r="H79" s="352">
        <v>1496.857</v>
      </c>
      <c r="I79" s="352">
        <v>1917.9960000000001</v>
      </c>
      <c r="K79" s="6"/>
    </row>
    <row r="80" spans="2:13" x14ac:dyDescent="0.3">
      <c r="E80" s="294"/>
      <c r="F80" s="353"/>
      <c r="G80" s="353"/>
      <c r="H80" s="353"/>
      <c r="I80" s="353"/>
    </row>
    <row r="81" spans="2:13" s="30" customFormat="1" ht="13.5" x14ac:dyDescent="0.35">
      <c r="B81" s="32" t="s">
        <v>395</v>
      </c>
      <c r="C81" s="32"/>
      <c r="D81" s="33"/>
      <c r="E81" s="354"/>
      <c r="F81" s="355"/>
      <c r="G81" s="355"/>
      <c r="H81" s="355"/>
      <c r="I81" s="355"/>
      <c r="J81" s="32"/>
      <c r="K81" s="157"/>
      <c r="L81" s="32"/>
      <c r="M81" s="32"/>
    </row>
    <row r="82" spans="2:13" x14ac:dyDescent="0.3">
      <c r="E82" s="294"/>
      <c r="F82" s="353"/>
      <c r="G82" s="353"/>
      <c r="H82" s="353"/>
      <c r="I82" s="353"/>
    </row>
    <row r="83" spans="2:13" x14ac:dyDescent="0.3">
      <c r="C83" s="8" t="s">
        <v>96</v>
      </c>
      <c r="D83" s="11" t="s">
        <v>127</v>
      </c>
      <c r="E83" s="352">
        <v>96.3870389339734</v>
      </c>
      <c r="F83" s="352">
        <v>140.12365092688887</v>
      </c>
      <c r="G83" s="352">
        <v>176.37038145038758</v>
      </c>
      <c r="H83" s="352">
        <v>217.08799999999999</v>
      </c>
      <c r="I83" s="352">
        <v>235.423</v>
      </c>
      <c r="K83" s="6" t="s">
        <v>201</v>
      </c>
    </row>
    <row r="84" spans="2:13" x14ac:dyDescent="0.3">
      <c r="E84" s="353"/>
      <c r="F84" s="353"/>
      <c r="G84" s="353"/>
      <c r="H84" s="353"/>
      <c r="I84" s="353"/>
    </row>
    <row r="85" spans="2:13" ht="13.5" x14ac:dyDescent="0.35">
      <c r="B85" s="9" t="s">
        <v>396</v>
      </c>
      <c r="C85" s="9"/>
      <c r="D85" s="10"/>
      <c r="E85" s="358"/>
      <c r="F85" s="358"/>
      <c r="G85" s="358"/>
      <c r="H85" s="358"/>
      <c r="I85" s="358"/>
      <c r="J85" s="9"/>
      <c r="K85" s="155"/>
      <c r="L85" s="9"/>
      <c r="M85" s="9"/>
    </row>
    <row r="86" spans="2:13" x14ac:dyDescent="0.3">
      <c r="E86" s="353"/>
      <c r="F86" s="353"/>
      <c r="G86" s="353"/>
      <c r="H86" s="353"/>
      <c r="I86" s="353"/>
    </row>
    <row r="87" spans="2:13" s="30" customFormat="1" ht="13.5" x14ac:dyDescent="0.35">
      <c r="B87" s="32" t="s">
        <v>397</v>
      </c>
      <c r="C87" s="32"/>
      <c r="D87" s="33"/>
      <c r="E87" s="355"/>
      <c r="F87" s="355"/>
      <c r="G87" s="355"/>
      <c r="H87" s="355"/>
      <c r="I87" s="355"/>
      <c r="J87" s="32"/>
      <c r="K87" s="157" t="s">
        <v>208</v>
      </c>
      <c r="L87" s="32"/>
      <c r="M87" s="32"/>
    </row>
    <row r="88" spans="2:13" x14ac:dyDescent="0.3">
      <c r="E88" s="353"/>
      <c r="F88" s="353"/>
      <c r="G88" s="353"/>
      <c r="H88" s="353"/>
      <c r="I88" s="353"/>
    </row>
    <row r="89" spans="2:13" x14ac:dyDescent="0.3">
      <c r="C89" s="8" t="s">
        <v>80</v>
      </c>
      <c r="D89" s="11" t="s">
        <v>127</v>
      </c>
      <c r="E89" s="352">
        <v>344.20257860687298</v>
      </c>
      <c r="F89" s="352">
        <v>394.113</v>
      </c>
      <c r="G89" s="352">
        <v>338.03238127374698</v>
      </c>
      <c r="H89" s="352">
        <v>300.43449265521298</v>
      </c>
      <c r="I89" s="352">
        <v>291.51900000000001</v>
      </c>
      <c r="K89" s="6"/>
    </row>
    <row r="90" spans="2:13" x14ac:dyDescent="0.3">
      <c r="C90" s="8" t="s">
        <v>82</v>
      </c>
      <c r="D90" s="11" t="s">
        <v>127</v>
      </c>
      <c r="E90" s="352">
        <v>246.73900000000003</v>
      </c>
      <c r="F90" s="352">
        <v>243.23500000000001</v>
      </c>
      <c r="G90" s="352">
        <v>239.471</v>
      </c>
      <c r="H90" s="352">
        <v>234.126</v>
      </c>
      <c r="I90" s="352">
        <v>229.983</v>
      </c>
      <c r="K90" s="6"/>
    </row>
    <row r="91" spans="2:13" x14ac:dyDescent="0.3">
      <c r="C91" s="8" t="s">
        <v>85</v>
      </c>
      <c r="D91" s="11" t="s">
        <v>127</v>
      </c>
      <c r="E91" s="352">
        <v>20.380999999999993</v>
      </c>
      <c r="F91" s="352">
        <v>24.75</v>
      </c>
      <c r="G91" s="352">
        <v>21.308</v>
      </c>
      <c r="H91" s="352">
        <v>17.838999999999999</v>
      </c>
      <c r="I91" s="352">
        <v>18.577999999999999</v>
      </c>
      <c r="K91" s="6"/>
    </row>
    <row r="92" spans="2:13" x14ac:dyDescent="0.3">
      <c r="C92" s="8" t="s">
        <v>87</v>
      </c>
      <c r="D92" s="11" t="s">
        <v>127</v>
      </c>
      <c r="E92" s="352">
        <v>257.72299999999996</v>
      </c>
      <c r="F92" s="352">
        <v>272.09800000000001</v>
      </c>
      <c r="G92" s="352">
        <v>281.38099999999997</v>
      </c>
      <c r="H92" s="352">
        <v>252.67400000000001</v>
      </c>
      <c r="I92" s="352">
        <v>238.295864701216</v>
      </c>
      <c r="K92" s="6"/>
    </row>
    <row r="93" spans="2:13" x14ac:dyDescent="0.3">
      <c r="C93" s="8" t="s">
        <v>89</v>
      </c>
      <c r="D93" s="11" t="s">
        <v>127</v>
      </c>
      <c r="E93" s="352">
        <v>501.67200000000003</v>
      </c>
      <c r="F93" s="352">
        <v>562.42700000000002</v>
      </c>
      <c r="G93" s="352">
        <v>592.86199999999997</v>
      </c>
      <c r="H93" s="352">
        <v>584.95899999999995</v>
      </c>
      <c r="I93" s="352">
        <v>535.053</v>
      </c>
      <c r="K93" s="6"/>
    </row>
    <row r="94" spans="2:13" x14ac:dyDescent="0.3">
      <c r="C94" s="8" t="s">
        <v>91</v>
      </c>
      <c r="D94" s="11" t="s">
        <v>127</v>
      </c>
      <c r="E94" s="352">
        <v>165.3</v>
      </c>
      <c r="F94" s="352">
        <v>171.7</v>
      </c>
      <c r="G94" s="352">
        <v>171.303</v>
      </c>
      <c r="H94" s="352">
        <v>154.32</v>
      </c>
      <c r="I94" s="352">
        <v>147.173</v>
      </c>
      <c r="K94" s="6"/>
    </row>
    <row r="95" spans="2:13" x14ac:dyDescent="0.3">
      <c r="C95" s="8" t="s">
        <v>94</v>
      </c>
      <c r="D95" s="11" t="s">
        <v>127</v>
      </c>
      <c r="E95" s="352">
        <v>152.94899999999996</v>
      </c>
      <c r="F95" s="352">
        <v>165.6</v>
      </c>
      <c r="G95" s="352">
        <v>163.75</v>
      </c>
      <c r="H95" s="352">
        <v>148.63999999999999</v>
      </c>
      <c r="I95" s="352">
        <v>124.16200000000001</v>
      </c>
      <c r="K95" s="6"/>
    </row>
    <row r="96" spans="2:13" x14ac:dyDescent="0.3">
      <c r="C96" s="8" t="s">
        <v>96</v>
      </c>
      <c r="D96" s="11" t="s">
        <v>127</v>
      </c>
      <c r="E96" s="352">
        <v>627.75500000000011</v>
      </c>
      <c r="F96" s="352">
        <v>668.43200000000002</v>
      </c>
      <c r="G96" s="352">
        <v>687.93600000000004</v>
      </c>
      <c r="H96" s="352">
        <v>677.16899999999998</v>
      </c>
      <c r="I96" s="352">
        <v>655.17399999999998</v>
      </c>
      <c r="K96" s="6"/>
    </row>
    <row r="97" spans="2:13" x14ac:dyDescent="0.3">
      <c r="C97" s="8" t="s">
        <v>98</v>
      </c>
      <c r="D97" s="11" t="s">
        <v>127</v>
      </c>
      <c r="E97" s="352">
        <v>448.10000000000014</v>
      </c>
      <c r="F97" s="352">
        <v>469.7</v>
      </c>
      <c r="G97" s="352">
        <v>470.6</v>
      </c>
      <c r="H97" s="352">
        <v>499.7</v>
      </c>
      <c r="I97" s="352">
        <v>459.7</v>
      </c>
      <c r="K97" s="6"/>
    </row>
    <row r="98" spans="2:13" x14ac:dyDescent="0.3">
      <c r="C98" s="8" t="s">
        <v>100</v>
      </c>
      <c r="D98" s="11" t="s">
        <v>127</v>
      </c>
      <c r="E98" s="352">
        <v>146.74043068010496</v>
      </c>
      <c r="F98" s="352">
        <v>153.80000000000001</v>
      </c>
      <c r="G98" s="352">
        <v>142.465950034054</v>
      </c>
      <c r="H98" s="352">
        <v>124.1</v>
      </c>
      <c r="I98" s="352">
        <v>110</v>
      </c>
      <c r="K98" s="6"/>
    </row>
    <row r="99" spans="2:13" x14ac:dyDescent="0.3">
      <c r="C99" s="8" t="s">
        <v>102</v>
      </c>
      <c r="D99" s="11" t="s">
        <v>127</v>
      </c>
      <c r="E99" s="352">
        <v>333.03300000000013</v>
      </c>
      <c r="F99" s="352">
        <v>311.267</v>
      </c>
      <c r="G99" s="352">
        <v>277.39999999999998</v>
      </c>
      <c r="H99" s="352">
        <v>277.90699999999998</v>
      </c>
      <c r="I99" s="352">
        <v>284.20100000000002</v>
      </c>
      <c r="K99" s="6"/>
    </row>
    <row r="100" spans="2:13" x14ac:dyDescent="0.3">
      <c r="C100" s="8" t="s">
        <v>104</v>
      </c>
      <c r="D100" s="11" t="s">
        <v>127</v>
      </c>
      <c r="E100" s="352">
        <v>241.79999999999995</v>
      </c>
      <c r="F100" s="352">
        <v>244.3</v>
      </c>
      <c r="G100" s="352">
        <v>212.3</v>
      </c>
      <c r="H100" s="352">
        <v>189.554675</v>
      </c>
      <c r="I100" s="352">
        <v>175.035</v>
      </c>
      <c r="K100" s="6"/>
    </row>
    <row r="101" spans="2:13" x14ac:dyDescent="0.3">
      <c r="C101" s="8" t="s">
        <v>106</v>
      </c>
      <c r="D101" s="11" t="s">
        <v>127</v>
      </c>
      <c r="E101" s="352">
        <v>86.8069926054078</v>
      </c>
      <c r="F101" s="352">
        <v>84.001734707013</v>
      </c>
      <c r="G101" s="352">
        <v>83.6704229772443</v>
      </c>
      <c r="H101" s="352">
        <v>83.062473548044693</v>
      </c>
      <c r="I101" s="352">
        <v>84.332472085462598</v>
      </c>
      <c r="K101" s="6"/>
    </row>
    <row r="102" spans="2:13" x14ac:dyDescent="0.3">
      <c r="C102" s="8" t="s">
        <v>108</v>
      </c>
      <c r="D102" s="11" t="s">
        <v>127</v>
      </c>
      <c r="E102" s="352">
        <v>26.426999999999992</v>
      </c>
      <c r="F102" s="352">
        <v>28.693000000000001</v>
      </c>
      <c r="G102" s="352">
        <v>29.108000000000001</v>
      </c>
      <c r="H102" s="352">
        <v>27.38</v>
      </c>
      <c r="I102" s="352">
        <v>26.082999999999998</v>
      </c>
      <c r="K102" s="6"/>
    </row>
    <row r="103" spans="2:13" x14ac:dyDescent="0.3">
      <c r="C103" s="8" t="s">
        <v>112</v>
      </c>
      <c r="D103" s="11" t="s">
        <v>127</v>
      </c>
      <c r="E103" s="352">
        <v>147.90000000000003</v>
      </c>
      <c r="F103" s="352">
        <v>155.9</v>
      </c>
      <c r="G103" s="352">
        <v>165.5</v>
      </c>
      <c r="H103" s="352">
        <v>159</v>
      </c>
      <c r="I103" s="352">
        <v>148.4</v>
      </c>
      <c r="K103" s="6"/>
    </row>
    <row r="104" spans="2:13" x14ac:dyDescent="0.3">
      <c r="C104" s="8" t="s">
        <v>114</v>
      </c>
      <c r="D104" s="11" t="s">
        <v>127</v>
      </c>
      <c r="E104" s="352">
        <v>76.771426398023607</v>
      </c>
      <c r="F104" s="352">
        <v>77.522471684498299</v>
      </c>
      <c r="G104" s="352">
        <v>77.804401979524101</v>
      </c>
      <c r="H104" s="352">
        <v>77.947000000000003</v>
      </c>
      <c r="I104" s="352">
        <v>76.897000000000006</v>
      </c>
      <c r="K104" s="6"/>
    </row>
    <row r="105" spans="2:13" x14ac:dyDescent="0.3">
      <c r="C105" s="8" t="s">
        <v>110</v>
      </c>
      <c r="D105" s="11" t="s">
        <v>127</v>
      </c>
      <c r="E105" s="352">
        <v>40.859921351818002</v>
      </c>
      <c r="F105" s="352">
        <v>45.069001595829398</v>
      </c>
      <c r="G105" s="352">
        <v>47.377166801180202</v>
      </c>
      <c r="H105" s="352">
        <v>43.756884453545297</v>
      </c>
      <c r="I105" s="352">
        <v>43.4578708793169</v>
      </c>
      <c r="K105" s="6"/>
    </row>
    <row r="106" spans="2:13" x14ac:dyDescent="0.3">
      <c r="E106" s="353"/>
      <c r="F106" s="353"/>
      <c r="G106" s="353"/>
      <c r="H106" s="353"/>
      <c r="I106" s="353"/>
    </row>
    <row r="107" spans="2:13" s="30" customFormat="1" ht="13.5" x14ac:dyDescent="0.35">
      <c r="B107" s="32" t="s">
        <v>398</v>
      </c>
      <c r="C107" s="32"/>
      <c r="D107" s="33"/>
      <c r="E107" s="355"/>
      <c r="F107" s="355"/>
      <c r="G107" s="355"/>
      <c r="H107" s="355"/>
      <c r="I107" s="355"/>
      <c r="J107" s="32"/>
      <c r="K107" s="157" t="s">
        <v>202</v>
      </c>
      <c r="L107" s="32"/>
      <c r="M107" s="32"/>
    </row>
    <row r="108" spans="2:13" x14ac:dyDescent="0.3">
      <c r="E108" s="353"/>
      <c r="F108" s="353"/>
      <c r="G108" s="353"/>
      <c r="H108" s="353"/>
      <c r="I108" s="353"/>
    </row>
    <row r="109" spans="2:13" x14ac:dyDescent="0.3">
      <c r="C109" s="8" t="s">
        <v>80</v>
      </c>
      <c r="D109" s="11" t="s">
        <v>127</v>
      </c>
      <c r="E109" s="352">
        <v>435.82438425911005</v>
      </c>
      <c r="F109" s="352">
        <v>556.66399999999999</v>
      </c>
      <c r="G109" s="352">
        <v>492.62735070627002</v>
      </c>
      <c r="H109" s="352">
        <v>506.14199188975101</v>
      </c>
      <c r="I109" s="352">
        <v>500.72399999999999</v>
      </c>
      <c r="K109" s="6"/>
    </row>
    <row r="110" spans="2:13" x14ac:dyDescent="0.3">
      <c r="C110" s="8" t="s">
        <v>82</v>
      </c>
      <c r="D110" s="11" t="s">
        <v>127</v>
      </c>
      <c r="E110" s="352">
        <v>280.38100000000009</v>
      </c>
      <c r="F110" s="352">
        <v>277.56599999999997</v>
      </c>
      <c r="G110" s="352">
        <v>272.81200000000001</v>
      </c>
      <c r="H110" s="352">
        <v>265.887</v>
      </c>
      <c r="I110" s="352">
        <v>261.44400000000002</v>
      </c>
      <c r="K110" s="6"/>
    </row>
    <row r="111" spans="2:13" x14ac:dyDescent="0.3">
      <c r="C111" s="8" t="s">
        <v>85</v>
      </c>
      <c r="D111" s="11" t="s">
        <v>127</v>
      </c>
      <c r="E111" s="357"/>
      <c r="F111" s="357"/>
      <c r="G111" s="357"/>
      <c r="H111" s="352">
        <v>4.1689999999999996</v>
      </c>
      <c r="I111" s="352">
        <v>4.9640000000000004</v>
      </c>
      <c r="K111" s="6"/>
    </row>
    <row r="112" spans="2:13" x14ac:dyDescent="0.3">
      <c r="C112" s="8" t="s">
        <v>87</v>
      </c>
      <c r="D112" s="11" t="s">
        <v>127</v>
      </c>
      <c r="E112" s="352">
        <v>204.483</v>
      </c>
      <c r="F112" s="352">
        <v>206.429</v>
      </c>
      <c r="G112" s="352">
        <v>212.24199999999999</v>
      </c>
      <c r="H112" s="352">
        <v>200.935</v>
      </c>
      <c r="I112" s="352">
        <v>171.69328557218699</v>
      </c>
      <c r="K112" s="6"/>
    </row>
    <row r="113" spans="2:13" x14ac:dyDescent="0.3">
      <c r="C113" s="8" t="s">
        <v>89</v>
      </c>
      <c r="D113" s="11" t="s">
        <v>127</v>
      </c>
      <c r="E113" s="352">
        <v>480.96400000000017</v>
      </c>
      <c r="F113" s="352">
        <v>558.9</v>
      </c>
      <c r="G113" s="352">
        <v>582.78599999999994</v>
      </c>
      <c r="H113" s="352">
        <v>574.68799999999999</v>
      </c>
      <c r="I113" s="352">
        <v>530.23699999999997</v>
      </c>
      <c r="K113" s="6"/>
    </row>
    <row r="114" spans="2:13" x14ac:dyDescent="0.3">
      <c r="C114" s="8" t="s">
        <v>91</v>
      </c>
      <c r="D114" s="11" t="s">
        <v>127</v>
      </c>
      <c r="E114" s="352">
        <v>191.8</v>
      </c>
      <c r="F114" s="352">
        <v>193.2</v>
      </c>
      <c r="G114" s="352">
        <v>176.77600000000001</v>
      </c>
      <c r="H114" s="352">
        <v>158.74299999999999</v>
      </c>
      <c r="I114" s="352">
        <v>155.77600000000001</v>
      </c>
      <c r="K114" s="6"/>
    </row>
    <row r="115" spans="2:13" x14ac:dyDescent="0.3">
      <c r="C115" s="8" t="s">
        <v>94</v>
      </c>
      <c r="D115" s="11" t="s">
        <v>127</v>
      </c>
      <c r="E115" s="352">
        <v>367.37800000000016</v>
      </c>
      <c r="F115" s="352">
        <v>402.9</v>
      </c>
      <c r="G115" s="352">
        <v>394.7</v>
      </c>
      <c r="H115" s="352">
        <v>369.56299999999999</v>
      </c>
      <c r="I115" s="352">
        <v>336.74200000000002</v>
      </c>
      <c r="K115" s="6"/>
    </row>
    <row r="116" spans="2:13" x14ac:dyDescent="0.3">
      <c r="C116" s="8" t="s">
        <v>96</v>
      </c>
      <c r="D116" s="11" t="s">
        <v>127</v>
      </c>
      <c r="E116" s="352">
        <v>847.95099999999979</v>
      </c>
      <c r="F116" s="352">
        <v>788.31600000000003</v>
      </c>
      <c r="G116" s="352">
        <v>792.46</v>
      </c>
      <c r="H116" s="352">
        <v>703.21699999999998</v>
      </c>
      <c r="I116" s="352">
        <v>611.23400000000004</v>
      </c>
      <c r="K116" s="6"/>
    </row>
    <row r="117" spans="2:13" x14ac:dyDescent="0.3">
      <c r="C117" s="8" t="s">
        <v>98</v>
      </c>
      <c r="D117" s="11" t="s">
        <v>127</v>
      </c>
      <c r="E117" s="352">
        <v>553.80000000000018</v>
      </c>
      <c r="F117" s="352">
        <v>573.9</v>
      </c>
      <c r="G117" s="352">
        <v>627.29999999999995</v>
      </c>
      <c r="H117" s="352">
        <v>636.70000000000005</v>
      </c>
      <c r="I117" s="352">
        <v>548.1</v>
      </c>
      <c r="K117" s="6"/>
    </row>
    <row r="118" spans="2:13" x14ac:dyDescent="0.3">
      <c r="C118" s="8" t="s">
        <v>100</v>
      </c>
      <c r="D118" s="11" t="s">
        <v>127</v>
      </c>
      <c r="E118" s="352">
        <v>189.96846491455403</v>
      </c>
      <c r="F118" s="352">
        <v>202.1</v>
      </c>
      <c r="G118" s="352">
        <v>233.59535358360699</v>
      </c>
      <c r="H118" s="352">
        <v>232.8</v>
      </c>
      <c r="I118" s="352">
        <v>233.1</v>
      </c>
      <c r="K118" s="6"/>
    </row>
    <row r="119" spans="2:13" x14ac:dyDescent="0.3">
      <c r="C119" s="8" t="s">
        <v>102</v>
      </c>
      <c r="D119" s="11" t="s">
        <v>127</v>
      </c>
      <c r="E119" s="352">
        <v>387.54699999999991</v>
      </c>
      <c r="F119" s="352">
        <v>387.65300000000002</v>
      </c>
      <c r="G119" s="352">
        <v>387.6</v>
      </c>
      <c r="H119" s="352">
        <v>387.64299999999997</v>
      </c>
      <c r="I119" s="352">
        <v>387.64699999999999</v>
      </c>
      <c r="K119" s="6"/>
    </row>
    <row r="120" spans="2:13" x14ac:dyDescent="0.3">
      <c r="E120" s="353"/>
      <c r="F120" s="353"/>
      <c r="G120" s="353"/>
      <c r="H120" s="353"/>
      <c r="I120" s="353"/>
    </row>
    <row r="121" spans="2:13" s="30" customFormat="1" ht="13.5" x14ac:dyDescent="0.35">
      <c r="B121" s="32" t="s">
        <v>399</v>
      </c>
      <c r="C121" s="32"/>
      <c r="D121" s="33"/>
      <c r="E121" s="355"/>
      <c r="F121" s="355"/>
      <c r="G121" s="355"/>
      <c r="H121" s="355"/>
      <c r="I121" s="355"/>
      <c r="J121" s="32"/>
      <c r="K121" s="157"/>
      <c r="L121" s="32"/>
      <c r="M121" s="32"/>
    </row>
    <row r="122" spans="2:13" x14ac:dyDescent="0.3">
      <c r="E122" s="353"/>
      <c r="F122" s="353"/>
      <c r="G122" s="353"/>
      <c r="H122" s="353"/>
      <c r="I122" s="353"/>
    </row>
    <row r="123" spans="2:13" x14ac:dyDescent="0.3">
      <c r="C123" s="8" t="s">
        <v>96</v>
      </c>
      <c r="D123" s="11" t="s">
        <v>127</v>
      </c>
      <c r="E123" s="352">
        <v>157.23999999999998</v>
      </c>
      <c r="F123" s="352">
        <v>62.582000000000001</v>
      </c>
      <c r="G123" s="352">
        <v>54.393000000000001</v>
      </c>
      <c r="H123" s="352">
        <v>51.088999999999999</v>
      </c>
      <c r="I123" s="352">
        <v>23.445</v>
      </c>
      <c r="K123" s="6" t="s">
        <v>204</v>
      </c>
    </row>
    <row r="124" spans="2:13" x14ac:dyDescent="0.3">
      <c r="E124" s="353"/>
      <c r="F124" s="353"/>
      <c r="G124" s="353"/>
      <c r="H124" s="353"/>
      <c r="I124" s="353"/>
    </row>
    <row r="125" spans="2:13" ht="13.5" x14ac:dyDescent="0.35">
      <c r="B125" s="9" t="s">
        <v>400</v>
      </c>
      <c r="C125" s="9"/>
      <c r="D125" s="10"/>
      <c r="E125" s="358"/>
      <c r="F125" s="358"/>
      <c r="G125" s="358"/>
      <c r="H125" s="358"/>
      <c r="I125" s="358"/>
      <c r="J125" s="9"/>
      <c r="K125" s="155"/>
      <c r="L125" s="9"/>
      <c r="M125" s="9"/>
    </row>
    <row r="126" spans="2:13" x14ac:dyDescent="0.3">
      <c r="E126" s="353"/>
      <c r="F126" s="353"/>
      <c r="G126" s="353"/>
      <c r="H126" s="353"/>
      <c r="I126" s="353"/>
    </row>
    <row r="127" spans="2:13" ht="13.5" x14ac:dyDescent="0.35">
      <c r="B127" s="32" t="s">
        <v>401</v>
      </c>
      <c r="C127" s="32"/>
      <c r="D127" s="33"/>
      <c r="E127" s="355"/>
      <c r="F127" s="355"/>
      <c r="G127" s="355"/>
      <c r="H127" s="355"/>
      <c r="I127" s="355"/>
      <c r="J127" s="32"/>
      <c r="K127" s="157" t="s">
        <v>209</v>
      </c>
      <c r="L127" s="32"/>
      <c r="M127" s="32"/>
    </row>
    <row r="128" spans="2:13" x14ac:dyDescent="0.3">
      <c r="E128" s="353"/>
      <c r="F128" s="353"/>
      <c r="G128" s="353"/>
      <c r="H128" s="353"/>
      <c r="I128" s="353"/>
    </row>
    <row r="129" spans="3:11" x14ac:dyDescent="0.3">
      <c r="C129" s="8" t="s">
        <v>80</v>
      </c>
      <c r="D129" s="11" t="s">
        <v>127</v>
      </c>
      <c r="E129" s="352">
        <v>344.20257860687298</v>
      </c>
      <c r="F129" s="352">
        <v>738.31557860687303</v>
      </c>
      <c r="G129" s="352">
        <v>1076.34795988062</v>
      </c>
      <c r="H129" s="352">
        <v>1376.7824525358401</v>
      </c>
      <c r="I129" s="352">
        <v>1668.3009999999999</v>
      </c>
      <c r="K129" s="6"/>
    </row>
    <row r="130" spans="3:11" x14ac:dyDescent="0.3">
      <c r="C130" s="8" t="s">
        <v>82</v>
      </c>
      <c r="D130" s="11" t="s">
        <v>127</v>
      </c>
      <c r="E130" s="352">
        <v>246.73900000000003</v>
      </c>
      <c r="F130" s="352">
        <v>489.97400000000005</v>
      </c>
      <c r="G130" s="352">
        <v>729.44500000000005</v>
      </c>
      <c r="H130" s="352">
        <v>963.572</v>
      </c>
      <c r="I130" s="352">
        <v>1193.5540000000001</v>
      </c>
      <c r="K130" s="6"/>
    </row>
    <row r="131" spans="3:11" x14ac:dyDescent="0.3">
      <c r="C131" s="8" t="s">
        <v>85</v>
      </c>
      <c r="D131" s="11" t="s">
        <v>127</v>
      </c>
      <c r="E131" s="352">
        <v>20.380999999999993</v>
      </c>
      <c r="F131" s="352">
        <v>45.130999999999993</v>
      </c>
      <c r="G131" s="352">
        <v>66.438999999999993</v>
      </c>
      <c r="H131" s="352">
        <v>84.278000000000006</v>
      </c>
      <c r="I131" s="352">
        <v>103.651</v>
      </c>
      <c r="K131" s="6"/>
    </row>
    <row r="132" spans="3:11" x14ac:dyDescent="0.3">
      <c r="C132" s="8" t="s">
        <v>87</v>
      </c>
      <c r="D132" s="11" t="s">
        <v>127</v>
      </c>
      <c r="E132" s="352">
        <v>257.72299999999996</v>
      </c>
      <c r="F132" s="352">
        <v>529.82099999999991</v>
      </c>
      <c r="G132" s="352">
        <v>811.202</v>
      </c>
      <c r="H132" s="352">
        <v>1063.876</v>
      </c>
      <c r="I132" s="352">
        <v>1302.1715394153</v>
      </c>
      <c r="K132" s="6"/>
    </row>
    <row r="133" spans="3:11" x14ac:dyDescent="0.3">
      <c r="C133" s="8" t="s">
        <v>89</v>
      </c>
      <c r="D133" s="11" t="s">
        <v>127</v>
      </c>
      <c r="E133" s="352">
        <v>501.67200000000003</v>
      </c>
      <c r="F133" s="352">
        <v>1064.0990000000002</v>
      </c>
      <c r="G133" s="352">
        <v>1656.961</v>
      </c>
      <c r="H133" s="352">
        <v>2241.9209999999998</v>
      </c>
      <c r="I133" s="352">
        <v>2776.973</v>
      </c>
      <c r="K133" s="6"/>
    </row>
    <row r="134" spans="3:11" x14ac:dyDescent="0.3">
      <c r="C134" s="8" t="s">
        <v>91</v>
      </c>
      <c r="D134" s="11" t="s">
        <v>127</v>
      </c>
      <c r="E134" s="352">
        <v>165.3</v>
      </c>
      <c r="F134" s="352">
        <v>337</v>
      </c>
      <c r="G134" s="352">
        <v>508.3</v>
      </c>
      <c r="H134" s="352">
        <v>662.6</v>
      </c>
      <c r="I134" s="352">
        <v>809.8</v>
      </c>
      <c r="K134" s="6"/>
    </row>
    <row r="135" spans="3:11" x14ac:dyDescent="0.3">
      <c r="C135" s="8" t="s">
        <v>94</v>
      </c>
      <c r="D135" s="11" t="s">
        <v>127</v>
      </c>
      <c r="E135" s="352">
        <v>152.94899999999996</v>
      </c>
      <c r="F135" s="352">
        <v>318.54899999999998</v>
      </c>
      <c r="G135" s="352">
        <v>482.29899999999998</v>
      </c>
      <c r="H135" s="352">
        <v>630.93899999999996</v>
      </c>
      <c r="I135" s="352">
        <v>755.101</v>
      </c>
      <c r="K135" s="6"/>
    </row>
    <row r="136" spans="3:11" x14ac:dyDescent="0.3">
      <c r="C136" s="8" t="s">
        <v>96</v>
      </c>
      <c r="D136" s="11" t="s">
        <v>127</v>
      </c>
      <c r="E136" s="352">
        <v>627.75500000000011</v>
      </c>
      <c r="F136" s="352">
        <v>1296.1870000000001</v>
      </c>
      <c r="G136" s="352">
        <v>1984.123</v>
      </c>
      <c r="H136" s="352">
        <v>2661.2919999999999</v>
      </c>
      <c r="I136" s="352">
        <v>3316.4659999999999</v>
      </c>
      <c r="K136" s="6"/>
    </row>
    <row r="137" spans="3:11" x14ac:dyDescent="0.3">
      <c r="C137" s="8" t="s">
        <v>98</v>
      </c>
      <c r="D137" s="11" t="s">
        <v>127</v>
      </c>
      <c r="E137" s="352">
        <v>448.10000000000014</v>
      </c>
      <c r="F137" s="352">
        <v>917.80000000000018</v>
      </c>
      <c r="G137" s="352">
        <v>1388.4</v>
      </c>
      <c r="H137" s="352">
        <v>1888.1</v>
      </c>
      <c r="I137" s="352">
        <v>2347.8000000000002</v>
      </c>
      <c r="K137" s="6"/>
    </row>
    <row r="138" spans="3:11" x14ac:dyDescent="0.3">
      <c r="C138" s="8" t="s">
        <v>100</v>
      </c>
      <c r="D138" s="11" t="s">
        <v>127</v>
      </c>
      <c r="E138" s="352">
        <v>146.74043068010496</v>
      </c>
      <c r="F138" s="352">
        <v>300.54043068010498</v>
      </c>
      <c r="G138" s="352">
        <v>443.00638071415898</v>
      </c>
      <c r="H138" s="352">
        <v>567.1</v>
      </c>
      <c r="I138" s="352">
        <v>677.1</v>
      </c>
      <c r="K138" s="6"/>
    </row>
    <row r="139" spans="3:11" x14ac:dyDescent="0.3">
      <c r="C139" s="8" t="s">
        <v>102</v>
      </c>
      <c r="D139" s="11" t="s">
        <v>127</v>
      </c>
      <c r="E139" s="352">
        <v>333.03300000000013</v>
      </c>
      <c r="F139" s="352">
        <v>644.30000000000018</v>
      </c>
      <c r="G139" s="352">
        <v>921.7</v>
      </c>
      <c r="H139" s="352">
        <v>1199.4670000000001</v>
      </c>
      <c r="I139" s="352">
        <v>1483.671</v>
      </c>
      <c r="K139" s="6"/>
    </row>
    <row r="140" spans="3:11" x14ac:dyDescent="0.3">
      <c r="C140" s="8" t="s">
        <v>104</v>
      </c>
      <c r="D140" s="11" t="s">
        <v>127</v>
      </c>
      <c r="E140" s="352">
        <v>241.79999999999995</v>
      </c>
      <c r="F140" s="352">
        <v>486.09999999999997</v>
      </c>
      <c r="G140" s="352">
        <v>698.4</v>
      </c>
      <c r="H140" s="352">
        <v>888.07500000000005</v>
      </c>
      <c r="I140" s="352">
        <v>1063.059</v>
      </c>
      <c r="K140" s="6"/>
    </row>
    <row r="141" spans="3:11" x14ac:dyDescent="0.3">
      <c r="C141" s="8" t="s">
        <v>106</v>
      </c>
      <c r="D141" s="11" t="s">
        <v>127</v>
      </c>
      <c r="E141" s="352">
        <v>86.8069926054078</v>
      </c>
      <c r="F141" s="352">
        <v>170.80872731242079</v>
      </c>
      <c r="G141" s="352">
        <v>254.47915028966509</v>
      </c>
      <c r="H141" s="352">
        <v>337.54162383770978</v>
      </c>
      <c r="I141" s="352">
        <v>421.87409592317238</v>
      </c>
      <c r="K141" s="6"/>
    </row>
    <row r="142" spans="3:11" x14ac:dyDescent="0.3">
      <c r="C142" s="8" t="s">
        <v>108</v>
      </c>
      <c r="D142" s="11" t="s">
        <v>127</v>
      </c>
      <c r="E142" s="352">
        <v>26.426999999999992</v>
      </c>
      <c r="F142" s="352">
        <v>55.11999999999999</v>
      </c>
      <c r="G142" s="352">
        <v>84.227999999999994</v>
      </c>
      <c r="H142" s="352">
        <v>111.607</v>
      </c>
      <c r="I142" s="352">
        <v>137.697</v>
      </c>
      <c r="K142" s="6"/>
    </row>
    <row r="143" spans="3:11" x14ac:dyDescent="0.3">
      <c r="C143" s="8" t="s">
        <v>112</v>
      </c>
      <c r="D143" s="11" t="s">
        <v>127</v>
      </c>
      <c r="E143" s="352">
        <v>147.90000000000003</v>
      </c>
      <c r="F143" s="352">
        <v>303.80000000000007</v>
      </c>
      <c r="G143" s="352">
        <v>469.3</v>
      </c>
      <c r="H143" s="352">
        <v>628.29999999999995</v>
      </c>
      <c r="I143" s="352">
        <v>776.7</v>
      </c>
      <c r="K143" s="6"/>
    </row>
    <row r="144" spans="3:11" x14ac:dyDescent="0.3">
      <c r="C144" s="8" t="s">
        <v>114</v>
      </c>
      <c r="D144" s="11" t="s">
        <v>127</v>
      </c>
      <c r="E144" s="352">
        <v>76.771426398023607</v>
      </c>
      <c r="F144" s="352">
        <v>154.29389808252191</v>
      </c>
      <c r="G144" s="352">
        <v>232.09830006204601</v>
      </c>
      <c r="H144" s="352">
        <v>310.04500000000002</v>
      </c>
      <c r="I144" s="352">
        <v>386.97800000000001</v>
      </c>
      <c r="K144" s="6"/>
    </row>
    <row r="145" spans="2:13" x14ac:dyDescent="0.3">
      <c r="C145" s="8" t="s">
        <v>110</v>
      </c>
      <c r="D145" s="11" t="s">
        <v>127</v>
      </c>
      <c r="E145" s="352">
        <v>40.859921351818002</v>
      </c>
      <c r="F145" s="352">
        <v>85.928922947647408</v>
      </c>
      <c r="G145" s="352">
        <v>133.30608974882762</v>
      </c>
      <c r="H145" s="352">
        <v>177.06297420237291</v>
      </c>
      <c r="I145" s="352">
        <v>220.5208450816898</v>
      </c>
      <c r="K145" s="6"/>
    </row>
    <row r="146" spans="2:13" x14ac:dyDescent="0.3">
      <c r="E146" s="353"/>
      <c r="F146" s="353"/>
      <c r="G146" s="353"/>
      <c r="H146" s="353"/>
      <c r="I146" s="353"/>
    </row>
    <row r="147" spans="2:13" ht="13.5" x14ac:dyDescent="0.35">
      <c r="B147" s="32" t="s">
        <v>402</v>
      </c>
      <c r="C147" s="32"/>
      <c r="D147" s="33"/>
      <c r="E147" s="355"/>
      <c r="F147" s="355"/>
      <c r="G147" s="355"/>
      <c r="H147" s="355"/>
      <c r="I147" s="355"/>
      <c r="J147" s="32"/>
      <c r="K147" s="157" t="s">
        <v>203</v>
      </c>
      <c r="L147" s="32"/>
      <c r="M147" s="32"/>
    </row>
    <row r="148" spans="2:13" x14ac:dyDescent="0.3">
      <c r="E148" s="353"/>
      <c r="F148" s="353"/>
      <c r="G148" s="353"/>
      <c r="H148" s="353"/>
      <c r="I148" s="353"/>
    </row>
    <row r="149" spans="2:13" x14ac:dyDescent="0.3">
      <c r="C149" s="8" t="s">
        <v>80</v>
      </c>
      <c r="D149" s="11" t="s">
        <v>127</v>
      </c>
      <c r="E149" s="352">
        <v>435.82438425911005</v>
      </c>
      <c r="F149" s="352">
        <v>992.48838425911003</v>
      </c>
      <c r="G149" s="352">
        <v>1485.1157349653799</v>
      </c>
      <c r="H149" s="352">
        <v>1991.2577268551299</v>
      </c>
      <c r="I149" s="352">
        <v>2491.982</v>
      </c>
      <c r="K149" s="6"/>
    </row>
    <row r="150" spans="2:13" x14ac:dyDescent="0.3">
      <c r="C150" s="8" t="s">
        <v>82</v>
      </c>
      <c r="D150" s="11" t="s">
        <v>127</v>
      </c>
      <c r="E150" s="352">
        <v>280.38100000000009</v>
      </c>
      <c r="F150" s="352">
        <v>557.94700000000012</v>
      </c>
      <c r="G150" s="352">
        <v>830.75900000000001</v>
      </c>
      <c r="H150" s="352">
        <v>1096.6469999999999</v>
      </c>
      <c r="I150" s="352">
        <v>1358.09</v>
      </c>
      <c r="K150" s="6"/>
    </row>
    <row r="151" spans="2:13" x14ac:dyDescent="0.3">
      <c r="C151" s="8" t="s">
        <v>85</v>
      </c>
      <c r="D151" s="11" t="s">
        <v>127</v>
      </c>
      <c r="E151" s="357"/>
      <c r="F151" s="357"/>
      <c r="G151" s="357"/>
      <c r="H151" s="352">
        <v>4.1689999999999996</v>
      </c>
      <c r="I151" s="352">
        <v>9.1389999999999993</v>
      </c>
      <c r="K151" s="6"/>
    </row>
    <row r="152" spans="2:13" x14ac:dyDescent="0.3">
      <c r="C152" s="8" t="s">
        <v>87</v>
      </c>
      <c r="D152" s="11" t="s">
        <v>127</v>
      </c>
      <c r="E152" s="352">
        <v>204.483</v>
      </c>
      <c r="F152" s="352">
        <v>410.91200000000003</v>
      </c>
      <c r="G152" s="352">
        <v>623.154</v>
      </c>
      <c r="H152" s="352">
        <v>824.08900000000006</v>
      </c>
      <c r="I152" s="352">
        <v>995.78247895964103</v>
      </c>
      <c r="K152" s="6"/>
    </row>
    <row r="153" spans="2:13" x14ac:dyDescent="0.3">
      <c r="C153" s="8" t="s">
        <v>89</v>
      </c>
      <c r="D153" s="11" t="s">
        <v>127</v>
      </c>
      <c r="E153" s="352">
        <v>480.96400000000017</v>
      </c>
      <c r="F153" s="352">
        <v>1039.864</v>
      </c>
      <c r="G153" s="352">
        <v>1622.65</v>
      </c>
      <c r="H153" s="352">
        <v>2197.3380000000002</v>
      </c>
      <c r="I153" s="352">
        <v>2727.5740000000001</v>
      </c>
      <c r="K153" s="6"/>
    </row>
    <row r="154" spans="2:13" x14ac:dyDescent="0.3">
      <c r="C154" s="8" t="s">
        <v>91</v>
      </c>
      <c r="D154" s="11" t="s">
        <v>127</v>
      </c>
      <c r="E154" s="352">
        <v>191.8</v>
      </c>
      <c r="F154" s="352">
        <v>384.98099999999994</v>
      </c>
      <c r="G154" s="352">
        <v>561.75699999999995</v>
      </c>
      <c r="H154" s="352">
        <v>720.5</v>
      </c>
      <c r="I154" s="352">
        <v>876.27599999999995</v>
      </c>
      <c r="K154" s="6"/>
    </row>
    <row r="155" spans="2:13" x14ac:dyDescent="0.3">
      <c r="C155" s="8" t="s">
        <v>94</v>
      </c>
      <c r="D155" s="11" t="s">
        <v>127</v>
      </c>
      <c r="E155" s="352">
        <v>367.37800000000016</v>
      </c>
      <c r="F155" s="352">
        <v>770.27800000000013</v>
      </c>
      <c r="G155" s="352">
        <v>1164.9780000000001</v>
      </c>
      <c r="H155" s="352">
        <v>1534.5409999999999</v>
      </c>
      <c r="I155" s="352">
        <v>1871.2829999999999</v>
      </c>
      <c r="K155" s="6"/>
    </row>
    <row r="156" spans="2:13" x14ac:dyDescent="0.3">
      <c r="C156" s="8" t="s">
        <v>96</v>
      </c>
      <c r="D156" s="11" t="s">
        <v>127</v>
      </c>
      <c r="E156" s="352">
        <v>847.95099999999979</v>
      </c>
      <c r="F156" s="352">
        <v>1636.2669999999998</v>
      </c>
      <c r="G156" s="352">
        <v>2428.7269999999999</v>
      </c>
      <c r="H156" s="352">
        <v>3131.944</v>
      </c>
      <c r="I156" s="352">
        <v>3743.1779999999999</v>
      </c>
      <c r="K156" s="6"/>
    </row>
    <row r="157" spans="2:13" x14ac:dyDescent="0.3">
      <c r="C157" s="8" t="s">
        <v>98</v>
      </c>
      <c r="D157" s="11" t="s">
        <v>127</v>
      </c>
      <c r="E157" s="352">
        <v>553.80000000000018</v>
      </c>
      <c r="F157" s="352">
        <v>1127.7000000000003</v>
      </c>
      <c r="G157" s="352">
        <v>1755</v>
      </c>
      <c r="H157" s="352">
        <v>2391.6999999999998</v>
      </c>
      <c r="I157" s="352">
        <v>2939.8</v>
      </c>
      <c r="K157" s="6"/>
    </row>
    <row r="158" spans="2:13" x14ac:dyDescent="0.3">
      <c r="C158" s="8" t="s">
        <v>100</v>
      </c>
      <c r="D158" s="11" t="s">
        <v>127</v>
      </c>
      <c r="E158" s="352">
        <v>189.96846491455403</v>
      </c>
      <c r="F158" s="352">
        <v>392.06846491455406</v>
      </c>
      <c r="G158" s="352">
        <v>625.66381849816105</v>
      </c>
      <c r="H158" s="352">
        <v>858.5</v>
      </c>
      <c r="I158" s="352">
        <v>1091.5999999999999</v>
      </c>
      <c r="K158" s="6"/>
    </row>
    <row r="159" spans="2:13" x14ac:dyDescent="0.3">
      <c r="C159" s="8" t="s">
        <v>102</v>
      </c>
      <c r="D159" s="11" t="s">
        <v>127</v>
      </c>
      <c r="E159" s="352">
        <v>387.54699999999991</v>
      </c>
      <c r="F159" s="352">
        <v>775.19999999999993</v>
      </c>
      <c r="G159" s="352">
        <v>1162.8</v>
      </c>
      <c r="H159" s="352">
        <v>1550.5709999999999</v>
      </c>
      <c r="I159" s="352">
        <v>1938.2360000000001</v>
      </c>
      <c r="K159" s="6"/>
    </row>
    <row r="160" spans="2:13" x14ac:dyDescent="0.3">
      <c r="E160" s="353"/>
      <c r="F160" s="353"/>
      <c r="G160" s="353"/>
      <c r="H160" s="353"/>
      <c r="I160" s="353"/>
    </row>
    <row r="161" spans="2:13" ht="13.5" x14ac:dyDescent="0.35">
      <c r="B161" s="32" t="s">
        <v>403</v>
      </c>
      <c r="C161" s="32"/>
      <c r="D161" s="33"/>
      <c r="E161" s="355"/>
      <c r="F161" s="355"/>
      <c r="G161" s="355"/>
      <c r="H161" s="355"/>
      <c r="I161" s="355"/>
      <c r="J161" s="32"/>
      <c r="K161" s="157"/>
      <c r="L161" s="32"/>
      <c r="M161" s="32"/>
    </row>
    <row r="162" spans="2:13" x14ac:dyDescent="0.3">
      <c r="E162" s="353"/>
      <c r="F162" s="353"/>
      <c r="G162" s="353"/>
      <c r="H162" s="353"/>
      <c r="I162" s="353"/>
    </row>
    <row r="163" spans="2:13" x14ac:dyDescent="0.3">
      <c r="C163" s="8" t="s">
        <v>96</v>
      </c>
      <c r="D163" s="11" t="s">
        <v>127</v>
      </c>
      <c r="E163" s="352">
        <v>157.23999999999998</v>
      </c>
      <c r="F163" s="352">
        <v>219.82199999999997</v>
      </c>
      <c r="G163" s="352">
        <v>274.21499999999997</v>
      </c>
      <c r="H163" s="352">
        <v>325.30399999999997</v>
      </c>
      <c r="I163" s="352">
        <v>348.74900000000002</v>
      </c>
      <c r="K163" s="6" t="s">
        <v>205</v>
      </c>
    </row>
    <row r="165" spans="2:13" x14ac:dyDescent="0.3">
      <c r="B165" s="34" t="s">
        <v>25</v>
      </c>
      <c r="C165" s="35"/>
      <c r="D165" s="36"/>
      <c r="E165" s="37"/>
      <c r="F165" s="37"/>
      <c r="G165" s="37"/>
      <c r="H165" s="37"/>
      <c r="I165" s="37"/>
      <c r="J165" s="37"/>
      <c r="K165" s="36"/>
      <c r="L165" s="37"/>
      <c r="M165" s="3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sheetPr>
  <dimension ref="B2:M283"/>
  <sheetViews>
    <sheetView showGridLines="0" workbookViewId="0">
      <pane ySplit="3" topLeftCell="A4" activePane="bottomLeft" state="frozen"/>
      <selection activeCell="T30" sqref="T30"/>
      <selection pane="bottomLeft"/>
    </sheetView>
  </sheetViews>
  <sheetFormatPr defaultColWidth="9" defaultRowHeight="13" x14ac:dyDescent="0.3"/>
  <cols>
    <col min="1" max="2" width="2.58203125" style="8" customWidth="1"/>
    <col min="3" max="3" width="23.08203125" style="8" bestFit="1" customWidth="1"/>
    <col min="4" max="4" width="9.83203125" style="11" customWidth="1"/>
    <col min="5" max="9" width="7.5" style="8" bestFit="1" customWidth="1"/>
    <col min="10" max="10" width="2.58203125" style="8" customWidth="1"/>
    <col min="11" max="11" width="44.33203125" style="8" bestFit="1" customWidth="1"/>
    <col min="12" max="12" width="2.58203125" style="8" customWidth="1"/>
    <col min="13" max="16384" width="9" style="8"/>
  </cols>
  <sheetData>
    <row r="2" spans="2:13" x14ac:dyDescent="0.3">
      <c r="B2" s="2"/>
      <c r="C2" s="2" t="s">
        <v>384</v>
      </c>
      <c r="D2" s="3" t="s">
        <v>385</v>
      </c>
      <c r="E2" s="4" t="s">
        <v>175</v>
      </c>
      <c r="F2" s="4" t="s">
        <v>176</v>
      </c>
      <c r="G2" s="4" t="s">
        <v>177</v>
      </c>
      <c r="H2" s="4" t="s">
        <v>178</v>
      </c>
      <c r="I2" s="4" t="s">
        <v>151</v>
      </c>
      <c r="J2" s="1"/>
      <c r="K2" s="5" t="s">
        <v>41</v>
      </c>
      <c r="L2" s="1"/>
      <c r="M2" s="24" t="s">
        <v>404</v>
      </c>
    </row>
    <row r="3" spans="2:13" x14ac:dyDescent="0.3">
      <c r="B3" s="7"/>
      <c r="C3" s="6" t="s">
        <v>386</v>
      </c>
      <c r="D3" s="6"/>
      <c r="E3" s="6">
        <v>3</v>
      </c>
      <c r="F3" s="6">
        <v>4</v>
      </c>
      <c r="G3" s="6">
        <v>5</v>
      </c>
      <c r="H3" s="6">
        <v>6</v>
      </c>
      <c r="I3" s="6">
        <v>7</v>
      </c>
      <c r="J3" s="6"/>
      <c r="K3" s="7" t="s">
        <v>387</v>
      </c>
      <c r="L3" s="6"/>
      <c r="M3" s="11"/>
    </row>
    <row r="5" spans="2:13" s="30" customFormat="1" ht="13.5" x14ac:dyDescent="0.35">
      <c r="B5" s="9" t="s">
        <v>405</v>
      </c>
      <c r="C5" s="9"/>
      <c r="D5" s="10"/>
      <c r="E5" s="9"/>
      <c r="F5" s="9"/>
      <c r="G5" s="9"/>
      <c r="H5" s="9"/>
      <c r="I5" s="9"/>
      <c r="J5" s="9"/>
      <c r="K5" s="9"/>
      <c r="L5" s="9"/>
    </row>
    <row r="7" spans="2:13" s="30" customFormat="1" ht="13.5" x14ac:dyDescent="0.35">
      <c r="B7" s="38" t="s">
        <v>212</v>
      </c>
      <c r="C7" s="38"/>
      <c r="D7" s="39"/>
      <c r="E7" s="38"/>
      <c r="F7" s="38"/>
      <c r="G7" s="38"/>
      <c r="H7" s="38"/>
      <c r="I7" s="38"/>
      <c r="J7" s="38"/>
      <c r="K7" s="143" t="s">
        <v>211</v>
      </c>
      <c r="L7" s="38"/>
    </row>
    <row r="9" spans="2:13" x14ac:dyDescent="0.3">
      <c r="C9" s="8" t="s">
        <v>80</v>
      </c>
      <c r="D9" s="11" t="s">
        <v>129</v>
      </c>
      <c r="E9" s="352">
        <v>104.92480363883401</v>
      </c>
      <c r="F9" s="352">
        <v>101.200872855019</v>
      </c>
      <c r="G9" s="352">
        <v>97.48</v>
      </c>
      <c r="H9" s="352">
        <v>94.640927000000005</v>
      </c>
      <c r="I9" s="352">
        <v>91.558000000000007</v>
      </c>
      <c r="K9" s="141"/>
    </row>
    <row r="10" spans="2:13" x14ac:dyDescent="0.3">
      <c r="C10" s="8" t="s">
        <v>82</v>
      </c>
      <c r="D10" s="11" t="s">
        <v>129</v>
      </c>
      <c r="E10" s="352">
        <v>57.668999999999997</v>
      </c>
      <c r="F10" s="352">
        <v>53.109000000000002</v>
      </c>
      <c r="G10" s="352">
        <v>52.844999999999999</v>
      </c>
      <c r="H10" s="352">
        <v>52.615000000000002</v>
      </c>
      <c r="I10" s="352">
        <v>52.356999999999999</v>
      </c>
      <c r="K10" s="141"/>
    </row>
    <row r="11" spans="2:13" x14ac:dyDescent="0.3">
      <c r="C11" s="8" t="s">
        <v>85</v>
      </c>
      <c r="D11" s="11" t="s">
        <v>129</v>
      </c>
      <c r="E11" s="352">
        <v>47.375</v>
      </c>
      <c r="F11" s="352">
        <v>46.222000000000001</v>
      </c>
      <c r="G11" s="352">
        <v>44.783999999999999</v>
      </c>
      <c r="H11" s="352">
        <v>31.675000000000001</v>
      </c>
      <c r="I11" s="352">
        <v>31.077999999999999</v>
      </c>
      <c r="K11" s="141" t="s">
        <v>406</v>
      </c>
    </row>
    <row r="12" spans="2:13" x14ac:dyDescent="0.3">
      <c r="C12" s="8" t="s">
        <v>87</v>
      </c>
      <c r="D12" s="11" t="s">
        <v>129</v>
      </c>
      <c r="E12" s="352">
        <v>309.70400000000001</v>
      </c>
      <c r="F12" s="352">
        <v>300.56599999999997</v>
      </c>
      <c r="G12" s="352">
        <v>291.11900000000003</v>
      </c>
      <c r="H12" s="352">
        <v>284.31900000000002</v>
      </c>
      <c r="I12" s="352">
        <v>278.43900000000002</v>
      </c>
      <c r="K12" s="141"/>
    </row>
    <row r="13" spans="2:13" x14ac:dyDescent="0.3">
      <c r="C13" s="8" t="s">
        <v>89</v>
      </c>
      <c r="D13" s="11" t="s">
        <v>129</v>
      </c>
      <c r="E13" s="352">
        <v>150.46299999999999</v>
      </c>
      <c r="F13" s="352">
        <v>143.73400000000001</v>
      </c>
      <c r="G13" s="352">
        <v>140.98599999999999</v>
      </c>
      <c r="H13" s="352">
        <v>147.54599999999999</v>
      </c>
      <c r="I13" s="352">
        <v>144.64699999999999</v>
      </c>
      <c r="K13" s="141" t="s">
        <v>407</v>
      </c>
    </row>
    <row r="14" spans="2:13" x14ac:dyDescent="0.3">
      <c r="C14" s="8" t="s">
        <v>91</v>
      </c>
      <c r="D14" s="11" t="s">
        <v>129</v>
      </c>
      <c r="E14" s="352">
        <v>92.745000000000005</v>
      </c>
      <c r="F14" s="352">
        <v>89.84899999999999</v>
      </c>
      <c r="G14" s="352">
        <v>87.769000000000005</v>
      </c>
      <c r="H14" s="352">
        <v>85.608000000000004</v>
      </c>
      <c r="I14" s="352">
        <v>83.274999999999991</v>
      </c>
      <c r="K14" s="141" t="s">
        <v>408</v>
      </c>
    </row>
    <row r="15" spans="2:13" x14ac:dyDescent="0.3">
      <c r="C15" s="8" t="s">
        <v>94</v>
      </c>
      <c r="D15" s="11" t="s">
        <v>129</v>
      </c>
      <c r="E15" s="352">
        <v>19.464500000000001</v>
      </c>
      <c r="F15" s="352">
        <v>16.372</v>
      </c>
      <c r="G15" s="352">
        <v>15.736000000000001</v>
      </c>
      <c r="H15" s="352">
        <v>15.693</v>
      </c>
      <c r="I15" s="352">
        <v>15.644</v>
      </c>
      <c r="K15" s="141"/>
    </row>
    <row r="16" spans="2:13" x14ac:dyDescent="0.3">
      <c r="C16" s="8" t="s">
        <v>96</v>
      </c>
      <c r="D16" s="11" t="s">
        <v>129</v>
      </c>
      <c r="E16" s="352">
        <v>26.315999999999999</v>
      </c>
      <c r="F16" s="352">
        <v>25.984999999999999</v>
      </c>
      <c r="G16" s="352">
        <v>25.661999999999999</v>
      </c>
      <c r="H16" s="352">
        <v>25.754999999999999</v>
      </c>
      <c r="I16" s="352">
        <v>26.867000000000001</v>
      </c>
      <c r="K16" s="141"/>
    </row>
    <row r="17" spans="2:12" x14ac:dyDescent="0.3">
      <c r="C17" s="8" t="s">
        <v>98</v>
      </c>
      <c r="D17" s="11" t="s">
        <v>129</v>
      </c>
      <c r="E17" s="352">
        <v>45.009</v>
      </c>
      <c r="F17" s="352">
        <v>44.616999999999997</v>
      </c>
      <c r="G17" s="352">
        <v>44.146000000000001</v>
      </c>
      <c r="H17" s="352">
        <v>43.432000000000002</v>
      </c>
      <c r="I17" s="352">
        <v>43.069000000000003</v>
      </c>
      <c r="K17" s="141"/>
    </row>
    <row r="18" spans="2:12" x14ac:dyDescent="0.3">
      <c r="C18" s="8" t="s">
        <v>100</v>
      </c>
      <c r="D18" s="11" t="s">
        <v>129</v>
      </c>
      <c r="E18" s="352">
        <v>21.617999999999999</v>
      </c>
      <c r="F18" s="352">
        <v>21.283000000000001</v>
      </c>
      <c r="G18" s="352">
        <v>20.47</v>
      </c>
      <c r="H18" s="352">
        <v>19.827999999999999</v>
      </c>
      <c r="I18" s="352">
        <v>19.338000000000001</v>
      </c>
      <c r="K18" s="141"/>
    </row>
    <row r="19" spans="2:12" x14ac:dyDescent="0.3">
      <c r="C19" s="8" t="s">
        <v>102</v>
      </c>
      <c r="D19" s="11" t="s">
        <v>129</v>
      </c>
      <c r="E19" s="352">
        <v>59.317999999999998</v>
      </c>
      <c r="F19" s="352">
        <v>58.396186301369902</v>
      </c>
      <c r="G19" s="352">
        <v>56.875</v>
      </c>
      <c r="H19" s="352">
        <v>56.124000000000002</v>
      </c>
      <c r="I19" s="352">
        <v>54.497</v>
      </c>
      <c r="K19" s="141"/>
    </row>
    <row r="20" spans="2:12" x14ac:dyDescent="0.3">
      <c r="C20" s="8" t="s">
        <v>104</v>
      </c>
      <c r="D20" s="11" t="s">
        <v>129</v>
      </c>
      <c r="E20" s="352">
        <v>672.88699999999994</v>
      </c>
      <c r="F20" s="352">
        <v>659.81799999999998</v>
      </c>
      <c r="G20" s="352">
        <v>636.97299999999996</v>
      </c>
      <c r="H20" s="352">
        <v>604.28</v>
      </c>
      <c r="I20" s="352">
        <v>562.95899999999995</v>
      </c>
      <c r="K20" s="141"/>
    </row>
    <row r="21" spans="2:12" x14ac:dyDescent="0.3">
      <c r="C21" s="8" t="s">
        <v>106</v>
      </c>
      <c r="D21" s="11" t="s">
        <v>129</v>
      </c>
      <c r="E21" s="352">
        <v>256.822</v>
      </c>
      <c r="F21" s="352">
        <v>249.852</v>
      </c>
      <c r="G21" s="352">
        <v>239.792</v>
      </c>
      <c r="H21" s="352">
        <v>224.43799999999999</v>
      </c>
      <c r="I21" s="352">
        <v>210.76499999999999</v>
      </c>
      <c r="K21" s="141"/>
    </row>
    <row r="22" spans="2:12" x14ac:dyDescent="0.3">
      <c r="C22" s="8" t="s">
        <v>108</v>
      </c>
      <c r="D22" s="11" t="s">
        <v>129</v>
      </c>
      <c r="E22" s="352">
        <v>210.15600000000001</v>
      </c>
      <c r="F22" s="352">
        <v>207.197</v>
      </c>
      <c r="G22" s="352">
        <v>204.16</v>
      </c>
      <c r="H22" s="352">
        <v>201.66900000000001</v>
      </c>
      <c r="I22" s="352">
        <v>200.25</v>
      </c>
      <c r="K22" s="141"/>
    </row>
    <row r="23" spans="2:12" x14ac:dyDescent="0.3">
      <c r="C23" s="8" t="s">
        <v>112</v>
      </c>
      <c r="D23" s="11" t="s">
        <v>129</v>
      </c>
      <c r="E23" s="352">
        <v>229.35300000000001</v>
      </c>
      <c r="F23" s="352">
        <v>185.26499999999999</v>
      </c>
      <c r="G23" s="352">
        <v>142.376</v>
      </c>
      <c r="H23" s="352">
        <v>106.678</v>
      </c>
      <c r="I23" s="352">
        <v>89.326999999999998</v>
      </c>
      <c r="K23" s="141"/>
    </row>
    <row r="24" spans="2:12" x14ac:dyDescent="0.3">
      <c r="C24" s="8" t="s">
        <v>114</v>
      </c>
      <c r="D24" s="11" t="s">
        <v>129</v>
      </c>
      <c r="E24" s="352">
        <v>385.58850000000001</v>
      </c>
      <c r="F24" s="352">
        <v>375.452</v>
      </c>
      <c r="G24" s="352">
        <v>380.90506575328402</v>
      </c>
      <c r="H24" s="352">
        <v>374.11700000000002</v>
      </c>
      <c r="I24" s="352">
        <v>358.21499999999997</v>
      </c>
      <c r="K24" s="141"/>
    </row>
    <row r="25" spans="2:12" x14ac:dyDescent="0.3">
      <c r="C25" s="8" t="s">
        <v>110</v>
      </c>
      <c r="D25" s="11" t="s">
        <v>129</v>
      </c>
      <c r="E25" s="352">
        <v>135.374</v>
      </c>
      <c r="F25" s="352">
        <v>128.63</v>
      </c>
      <c r="G25" s="352">
        <v>122.804</v>
      </c>
      <c r="H25" s="352">
        <v>117.10899999999999</v>
      </c>
      <c r="I25" s="352">
        <v>108.685</v>
      </c>
      <c r="K25" s="141"/>
    </row>
    <row r="26" spans="2:12" x14ac:dyDescent="0.3">
      <c r="E26" s="353"/>
      <c r="F26" s="353"/>
      <c r="G26" s="353"/>
      <c r="H26" s="353"/>
      <c r="I26" s="353"/>
    </row>
    <row r="27" spans="2:12" s="30" customFormat="1" ht="13.5" x14ac:dyDescent="0.35">
      <c r="B27" s="38" t="s">
        <v>216</v>
      </c>
      <c r="C27" s="38"/>
      <c r="D27" s="39"/>
      <c r="E27" s="31"/>
      <c r="F27" s="31"/>
      <c r="G27" s="31"/>
      <c r="H27" s="31"/>
      <c r="I27" s="31"/>
      <c r="J27" s="38"/>
      <c r="K27" s="143" t="s">
        <v>215</v>
      </c>
      <c r="L27" s="38"/>
    </row>
    <row r="28" spans="2:12" x14ac:dyDescent="0.3">
      <c r="E28" s="353"/>
      <c r="F28" s="353"/>
      <c r="G28" s="353"/>
      <c r="H28" s="353"/>
      <c r="I28" s="353"/>
    </row>
    <row r="29" spans="2:12" x14ac:dyDescent="0.3">
      <c r="C29" s="8" t="s">
        <v>80</v>
      </c>
      <c r="D29" s="11" t="s">
        <v>129</v>
      </c>
      <c r="E29" s="352">
        <v>271.98980363883402</v>
      </c>
      <c r="F29" s="352">
        <v>262.92287285501902</v>
      </c>
      <c r="G29" s="352">
        <v>256.46800000000002</v>
      </c>
      <c r="H29" s="352">
        <v>245.48292699999999</v>
      </c>
      <c r="I29" s="352">
        <v>236.20099999999999</v>
      </c>
      <c r="K29" s="141"/>
    </row>
    <row r="30" spans="2:12" x14ac:dyDescent="0.3">
      <c r="C30" s="8" t="s">
        <v>82</v>
      </c>
      <c r="D30" s="11" t="s">
        <v>129</v>
      </c>
      <c r="E30" s="352">
        <v>53.621000000000002</v>
      </c>
      <c r="F30" s="352">
        <v>52.207999999999998</v>
      </c>
      <c r="G30" s="352">
        <v>50.985999999999997</v>
      </c>
      <c r="H30" s="352">
        <v>48.694000000000003</v>
      </c>
      <c r="I30" s="352">
        <v>49.843000000000004</v>
      </c>
      <c r="K30" s="141"/>
    </row>
    <row r="31" spans="2:12" x14ac:dyDescent="0.3">
      <c r="C31" s="8" t="s">
        <v>85</v>
      </c>
      <c r="D31" s="11" t="s">
        <v>129</v>
      </c>
      <c r="E31" s="357"/>
      <c r="F31" s="357"/>
      <c r="G31" s="357"/>
      <c r="H31" s="352">
        <v>1.0609999999999999</v>
      </c>
      <c r="I31" s="352">
        <v>1.046</v>
      </c>
      <c r="K31" s="141" t="s">
        <v>406</v>
      </c>
    </row>
    <row r="32" spans="2:12" x14ac:dyDescent="0.3">
      <c r="C32" s="8" t="s">
        <v>87</v>
      </c>
      <c r="D32" s="11" t="s">
        <v>129</v>
      </c>
      <c r="E32" s="352">
        <v>33.78</v>
      </c>
      <c r="F32" s="352">
        <v>33.590000000000003</v>
      </c>
      <c r="G32" s="352">
        <v>32.777000000000001</v>
      </c>
      <c r="H32" s="352">
        <v>30.821999999999999</v>
      </c>
      <c r="I32" s="352">
        <v>28.901</v>
      </c>
      <c r="K32" s="141"/>
    </row>
    <row r="33" spans="2:12" x14ac:dyDescent="0.3">
      <c r="C33" s="8" t="s">
        <v>89</v>
      </c>
      <c r="D33" s="11" t="s">
        <v>129</v>
      </c>
      <c r="E33" s="352">
        <v>446.71300000000002</v>
      </c>
      <c r="F33" s="352">
        <v>450.16300000000001</v>
      </c>
      <c r="G33" s="352">
        <v>458.53300000000002</v>
      </c>
      <c r="H33" s="352">
        <v>439.51600000000002</v>
      </c>
      <c r="I33" s="352">
        <v>440.61900000000003</v>
      </c>
      <c r="K33" s="141" t="s">
        <v>407</v>
      </c>
    </row>
    <row r="34" spans="2:12" x14ac:dyDescent="0.3">
      <c r="C34" s="8" t="s">
        <v>91</v>
      </c>
      <c r="D34" s="11" t="s">
        <v>129</v>
      </c>
      <c r="E34" s="352">
        <v>2.4750000000000001</v>
      </c>
      <c r="F34" s="352">
        <v>2.3839999999999999</v>
      </c>
      <c r="G34" s="352">
        <v>2.3039999999999998</v>
      </c>
      <c r="H34" s="352">
        <v>2.2389999999999999</v>
      </c>
      <c r="I34" s="352">
        <v>2.2349999999999999</v>
      </c>
      <c r="K34" s="141" t="s">
        <v>408</v>
      </c>
    </row>
    <row r="35" spans="2:12" x14ac:dyDescent="0.3">
      <c r="C35" s="8" t="s">
        <v>94</v>
      </c>
      <c r="D35" s="11" t="s">
        <v>129</v>
      </c>
      <c r="E35" s="352">
        <v>355.03250000000003</v>
      </c>
      <c r="F35" s="352">
        <v>329.52600000000001</v>
      </c>
      <c r="G35" s="352">
        <v>301.81099999999998</v>
      </c>
      <c r="H35" s="352">
        <v>277.303</v>
      </c>
      <c r="I35" s="352">
        <v>264.28199999999998</v>
      </c>
      <c r="K35" s="141"/>
    </row>
    <row r="36" spans="2:12" x14ac:dyDescent="0.3">
      <c r="C36" s="8" t="s">
        <v>96</v>
      </c>
      <c r="D36" s="11" t="s">
        <v>129</v>
      </c>
      <c r="E36" s="352">
        <v>957.23599999999999</v>
      </c>
      <c r="F36" s="352">
        <v>916.399</v>
      </c>
      <c r="G36" s="352">
        <v>866.52700000000004</v>
      </c>
      <c r="H36" s="352">
        <v>810.73800000000006</v>
      </c>
      <c r="I36" s="352">
        <v>769.17600000000004</v>
      </c>
      <c r="K36" s="141"/>
    </row>
    <row r="37" spans="2:12" x14ac:dyDescent="0.3">
      <c r="C37" s="8" t="s">
        <v>98</v>
      </c>
      <c r="D37" s="11" t="s">
        <v>129</v>
      </c>
      <c r="E37" s="352">
        <v>25.12</v>
      </c>
      <c r="F37" s="352">
        <v>24.681999999999999</v>
      </c>
      <c r="G37" s="352">
        <v>24.279</v>
      </c>
      <c r="H37" s="352">
        <v>23.867999999999999</v>
      </c>
      <c r="I37" s="352">
        <v>23.372</v>
      </c>
      <c r="K37" s="141"/>
    </row>
    <row r="38" spans="2:12" x14ac:dyDescent="0.3">
      <c r="C38" s="8" t="s">
        <v>100</v>
      </c>
      <c r="D38" s="11" t="s">
        <v>129</v>
      </c>
      <c r="E38" s="352">
        <v>303.80599999999998</v>
      </c>
      <c r="F38" s="352">
        <v>294.86399999999998</v>
      </c>
      <c r="G38" s="352">
        <v>283.62799999999999</v>
      </c>
      <c r="H38" s="352">
        <v>266.839</v>
      </c>
      <c r="I38" s="352">
        <v>251.60400000000001</v>
      </c>
      <c r="K38" s="141"/>
    </row>
    <row r="39" spans="2:12" x14ac:dyDescent="0.3">
      <c r="C39" s="8" t="s">
        <v>102</v>
      </c>
      <c r="D39" s="11" t="s">
        <v>129</v>
      </c>
      <c r="E39" s="352">
        <v>68.513999999999996</v>
      </c>
      <c r="F39" s="352">
        <v>64.362205479452101</v>
      </c>
      <c r="G39" s="352">
        <v>61.195</v>
      </c>
      <c r="H39" s="352">
        <v>59.975999999999999</v>
      </c>
      <c r="I39" s="352">
        <v>56.83</v>
      </c>
      <c r="K39" s="141"/>
    </row>
    <row r="40" spans="2:12" x14ac:dyDescent="0.3">
      <c r="E40" s="353"/>
      <c r="F40" s="353"/>
      <c r="G40" s="353"/>
      <c r="H40" s="353"/>
      <c r="I40" s="353"/>
    </row>
    <row r="41" spans="2:12" s="30" customFormat="1" ht="13.5" x14ac:dyDescent="0.35">
      <c r="B41" s="38" t="s">
        <v>220</v>
      </c>
      <c r="C41" s="38"/>
      <c r="D41" s="39"/>
      <c r="E41" s="31"/>
      <c r="F41" s="31"/>
      <c r="G41" s="31"/>
      <c r="H41" s="31"/>
      <c r="I41" s="31"/>
      <c r="J41" s="38"/>
      <c r="K41" s="143" t="s">
        <v>219</v>
      </c>
      <c r="L41" s="38"/>
    </row>
    <row r="42" spans="2:12" x14ac:dyDescent="0.3">
      <c r="E42" s="353"/>
      <c r="F42" s="353"/>
      <c r="G42" s="353"/>
      <c r="H42" s="353"/>
      <c r="I42" s="353"/>
    </row>
    <row r="43" spans="2:12" x14ac:dyDescent="0.3">
      <c r="C43" s="8" t="s">
        <v>80</v>
      </c>
      <c r="D43" s="11" t="s">
        <v>129</v>
      </c>
      <c r="E43" s="352">
        <v>315.14819636116601</v>
      </c>
      <c r="F43" s="352">
        <v>294.636127144981</v>
      </c>
      <c r="G43" s="352">
        <v>271.66899999999998</v>
      </c>
      <c r="H43" s="352">
        <v>254.36207300000001</v>
      </c>
      <c r="I43" s="352">
        <v>239.52</v>
      </c>
      <c r="K43" s="141"/>
    </row>
    <row r="44" spans="2:12" x14ac:dyDescent="0.3">
      <c r="C44" s="8" t="s">
        <v>82</v>
      </c>
      <c r="D44" s="11" t="s">
        <v>129</v>
      </c>
      <c r="E44" s="352">
        <v>697.38900000000001</v>
      </c>
      <c r="F44" s="352">
        <v>686.2</v>
      </c>
      <c r="G44" s="352">
        <v>672.82600000000002</v>
      </c>
      <c r="H44" s="352">
        <v>662.76199999999994</v>
      </c>
      <c r="I44" s="352">
        <v>651.40499999999997</v>
      </c>
      <c r="K44" s="141" t="s">
        <v>406</v>
      </c>
    </row>
    <row r="45" spans="2:12" x14ac:dyDescent="0.3">
      <c r="C45" s="8" t="s">
        <v>85</v>
      </c>
      <c r="D45" s="11" t="s">
        <v>129</v>
      </c>
      <c r="E45" s="357"/>
      <c r="F45" s="357"/>
      <c r="G45" s="357"/>
      <c r="H45" s="352">
        <v>9.0609999999999999</v>
      </c>
      <c r="I45" s="352">
        <v>8.9489999999999998</v>
      </c>
      <c r="K45" s="141"/>
    </row>
    <row r="46" spans="2:12" x14ac:dyDescent="0.3">
      <c r="C46" s="8" t="s">
        <v>87</v>
      </c>
      <c r="D46" s="11" t="s">
        <v>129</v>
      </c>
      <c r="E46" s="352">
        <v>720.49900000000002</v>
      </c>
      <c r="F46" s="352">
        <v>703.91300000000001</v>
      </c>
      <c r="G46" s="352">
        <v>686.37099999999998</v>
      </c>
      <c r="H46" s="352">
        <v>667.39700000000005</v>
      </c>
      <c r="I46" s="352">
        <v>651.101</v>
      </c>
      <c r="K46" s="141" t="s">
        <v>407</v>
      </c>
    </row>
    <row r="47" spans="2:12" x14ac:dyDescent="0.3">
      <c r="C47" s="8" t="s">
        <v>89</v>
      </c>
      <c r="D47" s="11" t="s">
        <v>129</v>
      </c>
      <c r="E47" s="352">
        <v>1691.53</v>
      </c>
      <c r="F47" s="352">
        <v>1655.3209999999999</v>
      </c>
      <c r="G47" s="352">
        <v>1643.617</v>
      </c>
      <c r="H47" s="352">
        <v>1608.87</v>
      </c>
      <c r="I47" s="352">
        <v>1581.673</v>
      </c>
      <c r="K47" s="141" t="s">
        <v>408</v>
      </c>
    </row>
    <row r="48" spans="2:12" x14ac:dyDescent="0.3">
      <c r="C48" s="8" t="s">
        <v>91</v>
      </c>
      <c r="D48" s="11" t="s">
        <v>129</v>
      </c>
      <c r="E48" s="352">
        <v>123.40600000000001</v>
      </c>
      <c r="F48" s="352">
        <v>115.91200000000001</v>
      </c>
      <c r="G48" s="352">
        <v>109.47499999999999</v>
      </c>
      <c r="H48" s="352">
        <v>103.80200000000001</v>
      </c>
      <c r="I48" s="352">
        <v>99.661000000000001</v>
      </c>
      <c r="K48" s="141"/>
    </row>
    <row r="49" spans="2:12" x14ac:dyDescent="0.3">
      <c r="C49" s="8" t="s">
        <v>94</v>
      </c>
      <c r="D49" s="11" t="s">
        <v>129</v>
      </c>
      <c r="E49" s="352">
        <v>132.88650000000001</v>
      </c>
      <c r="F49" s="352">
        <v>117.694</v>
      </c>
      <c r="G49" s="352">
        <v>113.083</v>
      </c>
      <c r="H49" s="352">
        <v>112.30500000000001</v>
      </c>
      <c r="I49" s="352">
        <v>112.015</v>
      </c>
      <c r="K49" s="141"/>
    </row>
    <row r="50" spans="2:12" x14ac:dyDescent="0.3">
      <c r="C50" s="8" t="s">
        <v>96</v>
      </c>
      <c r="D50" s="11" t="s">
        <v>129</v>
      </c>
      <c r="E50" s="352">
        <v>2190.4549999999999</v>
      </c>
      <c r="F50" s="352">
        <v>2150.3870000000002</v>
      </c>
      <c r="G50" s="352">
        <v>2091.8150000000001</v>
      </c>
      <c r="H50" s="352">
        <v>2024.2919999999999</v>
      </c>
      <c r="I50" s="352">
        <v>1929.154</v>
      </c>
      <c r="K50" s="141"/>
    </row>
    <row r="51" spans="2:12" x14ac:dyDescent="0.3">
      <c r="C51" s="8" t="s">
        <v>98</v>
      </c>
      <c r="D51" s="11" t="s">
        <v>129</v>
      </c>
      <c r="E51" s="352">
        <v>1714.54</v>
      </c>
      <c r="F51" s="352">
        <v>1688.94</v>
      </c>
      <c r="G51" s="352">
        <v>1642.92</v>
      </c>
      <c r="H51" s="352">
        <v>1612.8019999999999</v>
      </c>
      <c r="I51" s="352">
        <v>1584.787</v>
      </c>
      <c r="K51" s="141"/>
    </row>
    <row r="52" spans="2:12" x14ac:dyDescent="0.3">
      <c r="C52" s="8" t="s">
        <v>100</v>
      </c>
      <c r="D52" s="11" t="s">
        <v>129</v>
      </c>
      <c r="E52" s="352">
        <v>196.86099999999999</v>
      </c>
      <c r="F52" s="352">
        <v>189.83799999999999</v>
      </c>
      <c r="G52" s="352">
        <v>180.16300000000001</v>
      </c>
      <c r="H52" s="352">
        <v>169.95400000000001</v>
      </c>
      <c r="I52" s="352">
        <v>161.38499999999999</v>
      </c>
      <c r="K52" s="141"/>
    </row>
    <row r="53" spans="2:12" x14ac:dyDescent="0.3">
      <c r="C53" s="8" t="s">
        <v>102</v>
      </c>
      <c r="D53" s="11" t="s">
        <v>129</v>
      </c>
      <c r="E53" s="352">
        <v>960.75199999999995</v>
      </c>
      <c r="F53" s="352">
        <v>936.486815068493</v>
      </c>
      <c r="G53" s="352">
        <v>911.17700000000002</v>
      </c>
      <c r="H53" s="352">
        <v>882.78399999999999</v>
      </c>
      <c r="I53" s="352">
        <v>850.03599999999994</v>
      </c>
      <c r="K53" s="141"/>
    </row>
    <row r="54" spans="2:12" x14ac:dyDescent="0.3">
      <c r="E54" s="353"/>
      <c r="F54" s="353"/>
      <c r="G54" s="353"/>
      <c r="H54" s="353"/>
      <c r="I54" s="353"/>
    </row>
    <row r="55" spans="2:12" ht="13.5" x14ac:dyDescent="0.35">
      <c r="B55" s="38" t="s">
        <v>214</v>
      </c>
      <c r="C55" s="38"/>
      <c r="D55" s="39"/>
      <c r="E55" s="31"/>
      <c r="F55" s="31"/>
      <c r="G55" s="31"/>
      <c r="H55" s="31"/>
      <c r="I55" s="31"/>
      <c r="J55" s="38"/>
      <c r="K55" s="143" t="s">
        <v>213</v>
      </c>
      <c r="L55" s="38"/>
    </row>
    <row r="56" spans="2:12" x14ac:dyDescent="0.3">
      <c r="E56" s="353"/>
      <c r="F56" s="353"/>
      <c r="G56" s="353"/>
      <c r="H56" s="353"/>
      <c r="I56" s="353"/>
    </row>
    <row r="57" spans="2:12" x14ac:dyDescent="0.3">
      <c r="C57" s="8" t="s">
        <v>80</v>
      </c>
      <c r="D57" s="11" t="s">
        <v>129</v>
      </c>
      <c r="E57" s="352">
        <v>127.667743694126</v>
      </c>
      <c r="F57" s="352">
        <v>131.46491311764299</v>
      </c>
      <c r="G57" s="352">
        <v>135.66399999999999</v>
      </c>
      <c r="H57" s="352">
        <v>141.35126</v>
      </c>
      <c r="I57" s="352">
        <v>145.464</v>
      </c>
      <c r="K57" s="141"/>
    </row>
    <row r="58" spans="2:12" x14ac:dyDescent="0.3">
      <c r="C58" s="8" t="s">
        <v>82</v>
      </c>
      <c r="D58" s="11" t="s">
        <v>129</v>
      </c>
      <c r="E58" s="352">
        <v>23.102</v>
      </c>
      <c r="F58" s="352">
        <v>27.585999999999999</v>
      </c>
      <c r="G58" s="352">
        <v>28.210999999999999</v>
      </c>
      <c r="H58" s="352">
        <v>29.164999999999999</v>
      </c>
      <c r="I58" s="352">
        <v>30.029</v>
      </c>
      <c r="K58" s="141"/>
    </row>
    <row r="59" spans="2:12" x14ac:dyDescent="0.3">
      <c r="C59" s="8" t="s">
        <v>85</v>
      </c>
      <c r="D59" s="11" t="s">
        <v>129</v>
      </c>
      <c r="E59" s="352">
        <v>66.787999999999997</v>
      </c>
      <c r="F59" s="352">
        <v>69.028000000000006</v>
      </c>
      <c r="G59" s="352">
        <v>71.531000000000006</v>
      </c>
      <c r="H59" s="352">
        <v>44.423000000000002</v>
      </c>
      <c r="I59" s="352">
        <v>44.87</v>
      </c>
      <c r="K59" s="141" t="s">
        <v>406</v>
      </c>
    </row>
    <row r="60" spans="2:12" x14ac:dyDescent="0.3">
      <c r="C60" s="8" t="s">
        <v>87</v>
      </c>
      <c r="D60" s="11" t="s">
        <v>129</v>
      </c>
      <c r="E60" s="352">
        <v>424.06700000000001</v>
      </c>
      <c r="F60" s="352">
        <v>436.90100000000001</v>
      </c>
      <c r="G60" s="352">
        <v>450.18200000000002</v>
      </c>
      <c r="H60" s="352">
        <v>462.32799999999997</v>
      </c>
      <c r="I60" s="352">
        <v>473.21</v>
      </c>
      <c r="K60" s="141"/>
    </row>
    <row r="61" spans="2:12" x14ac:dyDescent="0.3">
      <c r="C61" s="8" t="s">
        <v>89</v>
      </c>
      <c r="D61" s="11" t="s">
        <v>129</v>
      </c>
      <c r="E61" s="352">
        <v>116.35299999999999</v>
      </c>
      <c r="F61" s="352">
        <v>122.074</v>
      </c>
      <c r="G61" s="352">
        <v>125.13500000000001</v>
      </c>
      <c r="H61" s="352">
        <v>155.821</v>
      </c>
      <c r="I61" s="352">
        <v>159.13200000000001</v>
      </c>
      <c r="K61" s="141" t="s">
        <v>407</v>
      </c>
    </row>
    <row r="62" spans="2:12" x14ac:dyDescent="0.3">
      <c r="C62" s="8" t="s">
        <v>91</v>
      </c>
      <c r="D62" s="11" t="s">
        <v>129</v>
      </c>
      <c r="E62" s="352">
        <v>162.48500000000001</v>
      </c>
      <c r="F62" s="352">
        <v>166.61099999999999</v>
      </c>
      <c r="G62" s="352">
        <v>172.34699999999998</v>
      </c>
      <c r="H62" s="352">
        <v>171.63799999999998</v>
      </c>
      <c r="I62" s="352">
        <v>175.57400000000001</v>
      </c>
      <c r="K62" s="141" t="s">
        <v>408</v>
      </c>
    </row>
    <row r="63" spans="2:12" x14ac:dyDescent="0.3">
      <c r="C63" s="8" t="s">
        <v>94</v>
      </c>
      <c r="D63" s="11" t="s">
        <v>129</v>
      </c>
      <c r="E63" s="352">
        <v>61.168999999999997</v>
      </c>
      <c r="F63" s="352">
        <v>64.799000000000007</v>
      </c>
      <c r="G63" s="352">
        <v>65.986000000000004</v>
      </c>
      <c r="H63" s="352">
        <v>69.468999999999994</v>
      </c>
      <c r="I63" s="352">
        <v>72.265000000000001</v>
      </c>
      <c r="K63" s="141"/>
    </row>
    <row r="64" spans="2:12" x14ac:dyDescent="0.3">
      <c r="C64" s="8" t="s">
        <v>96</v>
      </c>
      <c r="D64" s="11" t="s">
        <v>129</v>
      </c>
      <c r="E64" s="352">
        <v>20.861000000000001</v>
      </c>
      <c r="F64" s="352">
        <v>21.484999999999999</v>
      </c>
      <c r="G64" s="352">
        <v>22.045999999999999</v>
      </c>
      <c r="H64" s="352">
        <v>22.602</v>
      </c>
      <c r="I64" s="352">
        <v>25.928999999999998</v>
      </c>
      <c r="K64" s="141"/>
    </row>
    <row r="65" spans="2:12" x14ac:dyDescent="0.3">
      <c r="C65" s="8" t="s">
        <v>98</v>
      </c>
      <c r="D65" s="11" t="s">
        <v>129</v>
      </c>
      <c r="E65" s="352">
        <v>25.068000000000001</v>
      </c>
      <c r="F65" s="352">
        <v>25.995999999999999</v>
      </c>
      <c r="G65" s="352">
        <v>27.297999999999998</v>
      </c>
      <c r="H65" s="352">
        <v>28.204999999999998</v>
      </c>
      <c r="I65" s="352">
        <v>29.262</v>
      </c>
      <c r="K65" s="141"/>
    </row>
    <row r="66" spans="2:12" x14ac:dyDescent="0.3">
      <c r="C66" s="8" t="s">
        <v>100</v>
      </c>
      <c r="D66" s="11" t="s">
        <v>129</v>
      </c>
      <c r="E66" s="352">
        <v>18.062000000000001</v>
      </c>
      <c r="F66" s="352">
        <v>18.731999999999999</v>
      </c>
      <c r="G66" s="352">
        <v>19.68</v>
      </c>
      <c r="H66" s="352">
        <v>20.478999999999999</v>
      </c>
      <c r="I66" s="352">
        <v>21.158999999999999</v>
      </c>
      <c r="K66" s="141"/>
    </row>
    <row r="67" spans="2:12" x14ac:dyDescent="0.3">
      <c r="C67" s="8" t="s">
        <v>102</v>
      </c>
      <c r="D67" s="11" t="s">
        <v>129</v>
      </c>
      <c r="E67" s="352">
        <v>45.643000000000001</v>
      </c>
      <c r="F67" s="352">
        <v>49.068134246575298</v>
      </c>
      <c r="G67" s="352">
        <v>50.618000000000002</v>
      </c>
      <c r="H67" s="352">
        <v>53.512</v>
      </c>
      <c r="I67" s="352">
        <v>55.758000000000003</v>
      </c>
      <c r="K67" s="141"/>
    </row>
    <row r="68" spans="2:12" x14ac:dyDescent="0.3">
      <c r="C68" s="8" t="s">
        <v>104</v>
      </c>
      <c r="D68" s="11" t="s">
        <v>129</v>
      </c>
      <c r="E68" s="352">
        <v>673.26700000000005</v>
      </c>
      <c r="F68" s="352">
        <v>698.27599999999995</v>
      </c>
      <c r="G68" s="352">
        <v>727.59299999999996</v>
      </c>
      <c r="H68" s="352">
        <v>768.87699999999995</v>
      </c>
      <c r="I68" s="352">
        <v>824.726</v>
      </c>
      <c r="K68" s="141"/>
    </row>
    <row r="69" spans="2:12" x14ac:dyDescent="0.3">
      <c r="C69" s="8" t="s">
        <v>106</v>
      </c>
      <c r="D69" s="11" t="s">
        <v>129</v>
      </c>
      <c r="E69" s="352">
        <v>224.316</v>
      </c>
      <c r="F69" s="352">
        <v>234.738</v>
      </c>
      <c r="G69" s="352">
        <v>250.16300000000001</v>
      </c>
      <c r="H69" s="352">
        <v>269.39400000000001</v>
      </c>
      <c r="I69" s="352">
        <v>286.47300000000001</v>
      </c>
      <c r="K69" s="141"/>
    </row>
    <row r="70" spans="2:12" x14ac:dyDescent="0.3">
      <c r="C70" s="8" t="s">
        <v>108</v>
      </c>
      <c r="D70" s="11" t="s">
        <v>129</v>
      </c>
      <c r="E70" s="352">
        <v>78.509</v>
      </c>
      <c r="F70" s="352">
        <v>84.212000000000003</v>
      </c>
      <c r="G70" s="352">
        <v>89.29</v>
      </c>
      <c r="H70" s="352">
        <v>92.944999999999993</v>
      </c>
      <c r="I70" s="352">
        <v>96.361999999999995</v>
      </c>
      <c r="K70" s="141"/>
    </row>
    <row r="71" spans="2:12" x14ac:dyDescent="0.3">
      <c r="C71" s="8" t="s">
        <v>112</v>
      </c>
      <c r="D71" s="11" t="s">
        <v>129</v>
      </c>
      <c r="E71" s="352">
        <v>608.06899999999996</v>
      </c>
      <c r="F71" s="352">
        <v>660.62300000000005</v>
      </c>
      <c r="G71" s="352">
        <v>711.99300000000005</v>
      </c>
      <c r="H71" s="352">
        <v>754.84400000000005</v>
      </c>
      <c r="I71" s="352">
        <v>779.61800000000005</v>
      </c>
      <c r="K71" s="141"/>
    </row>
    <row r="72" spans="2:12" x14ac:dyDescent="0.3">
      <c r="C72" s="8" t="s">
        <v>114</v>
      </c>
      <c r="D72" s="11" t="s">
        <v>129</v>
      </c>
      <c r="E72" s="352">
        <v>273.77050000000003</v>
      </c>
      <c r="F72" s="352">
        <v>284.65300000000002</v>
      </c>
      <c r="G72" s="352">
        <v>289.75564931489703</v>
      </c>
      <c r="H72" s="352">
        <v>304.464</v>
      </c>
      <c r="I72" s="352">
        <v>317.10500000000002</v>
      </c>
      <c r="K72" s="141"/>
    </row>
    <row r="73" spans="2:12" x14ac:dyDescent="0.3">
      <c r="C73" s="8" t="s">
        <v>110</v>
      </c>
      <c r="D73" s="11" t="s">
        <v>129</v>
      </c>
      <c r="E73" s="352">
        <v>127.768</v>
      </c>
      <c r="F73" s="352">
        <v>134.98500000000001</v>
      </c>
      <c r="G73" s="352">
        <v>143.048</v>
      </c>
      <c r="H73" s="352">
        <v>151.34100000000001</v>
      </c>
      <c r="I73" s="352">
        <v>162.35499999999999</v>
      </c>
      <c r="K73" s="141"/>
    </row>
    <row r="74" spans="2:12" x14ac:dyDescent="0.3">
      <c r="E74" s="353"/>
      <c r="F74" s="353"/>
      <c r="G74" s="353"/>
      <c r="H74" s="353"/>
      <c r="I74" s="353"/>
    </row>
    <row r="75" spans="2:12" ht="13.5" x14ac:dyDescent="0.35">
      <c r="B75" s="38" t="s">
        <v>218</v>
      </c>
      <c r="C75" s="38"/>
      <c r="D75" s="39"/>
      <c r="E75" s="31"/>
      <c r="F75" s="31"/>
      <c r="G75" s="31"/>
      <c r="H75" s="31"/>
      <c r="I75" s="31"/>
      <c r="J75" s="38"/>
      <c r="K75" s="143" t="s">
        <v>217</v>
      </c>
      <c r="L75" s="38"/>
    </row>
    <row r="76" spans="2:12" x14ac:dyDescent="0.3">
      <c r="E76" s="353"/>
      <c r="F76" s="353"/>
      <c r="G76" s="353"/>
      <c r="H76" s="353"/>
      <c r="I76" s="353"/>
    </row>
    <row r="77" spans="2:12" x14ac:dyDescent="0.3">
      <c r="C77" s="8" t="s">
        <v>80</v>
      </c>
      <c r="D77" s="11" t="s">
        <v>129</v>
      </c>
      <c r="E77" s="352">
        <v>529.57374369412605</v>
      </c>
      <c r="F77" s="352">
        <v>545.32191311764302</v>
      </c>
      <c r="G77" s="352">
        <v>557.37900000000002</v>
      </c>
      <c r="H77" s="352">
        <v>569.71525999999994</v>
      </c>
      <c r="I77" s="352">
        <v>584.52099999999996</v>
      </c>
      <c r="K77" s="141"/>
    </row>
    <row r="78" spans="2:12" x14ac:dyDescent="0.3">
      <c r="C78" s="8" t="s">
        <v>82</v>
      </c>
      <c r="D78" s="11" t="s">
        <v>129</v>
      </c>
      <c r="E78" s="352">
        <v>75.84</v>
      </c>
      <c r="F78" s="352">
        <v>78.408000000000001</v>
      </c>
      <c r="G78" s="352">
        <v>82.233000000000004</v>
      </c>
      <c r="H78" s="352">
        <v>83.247</v>
      </c>
      <c r="I78" s="352">
        <v>79.825000000000003</v>
      </c>
      <c r="K78" s="141"/>
    </row>
    <row r="79" spans="2:12" x14ac:dyDescent="0.3">
      <c r="C79" s="8" t="s">
        <v>85</v>
      </c>
      <c r="D79" s="11" t="s">
        <v>129</v>
      </c>
      <c r="E79" s="357"/>
      <c r="F79" s="357"/>
      <c r="G79" s="357"/>
      <c r="H79" s="352">
        <v>1.4079999999999999</v>
      </c>
      <c r="I79" s="352">
        <v>1.395</v>
      </c>
      <c r="K79" s="141" t="s">
        <v>406</v>
      </c>
    </row>
    <row r="80" spans="2:12" x14ac:dyDescent="0.3">
      <c r="C80" s="8" t="s">
        <v>87</v>
      </c>
      <c r="D80" s="11" t="s">
        <v>129</v>
      </c>
      <c r="E80" s="352">
        <v>31.498000000000001</v>
      </c>
      <c r="F80" s="352">
        <v>32.274999999999999</v>
      </c>
      <c r="G80" s="352">
        <v>33.037999999999997</v>
      </c>
      <c r="H80" s="352">
        <v>33.811999999999998</v>
      </c>
      <c r="I80" s="352">
        <v>37.573</v>
      </c>
      <c r="K80" s="141"/>
    </row>
    <row r="81" spans="2:12" x14ac:dyDescent="0.3">
      <c r="C81" s="8" t="s">
        <v>89</v>
      </c>
      <c r="D81" s="11" t="s">
        <v>129</v>
      </c>
      <c r="E81" s="352">
        <v>253.99799999999999</v>
      </c>
      <c r="F81" s="352">
        <v>272.92399999999998</v>
      </c>
      <c r="G81" s="352">
        <v>277.26100000000002</v>
      </c>
      <c r="H81" s="352">
        <v>292.42500000000001</v>
      </c>
      <c r="I81" s="352">
        <v>305.48399999999998</v>
      </c>
      <c r="K81" s="141" t="s">
        <v>407</v>
      </c>
    </row>
    <row r="82" spans="2:12" x14ac:dyDescent="0.3">
      <c r="C82" s="8" t="s">
        <v>91</v>
      </c>
      <c r="D82" s="11" t="s">
        <v>129</v>
      </c>
      <c r="E82" s="352">
        <v>2.3450000000000002</v>
      </c>
      <c r="F82" s="352">
        <v>2.464</v>
      </c>
      <c r="G82" s="352">
        <v>2.57</v>
      </c>
      <c r="H82" s="352">
        <v>2.625</v>
      </c>
      <c r="I82" s="352">
        <v>2.6819999999999999</v>
      </c>
      <c r="K82" s="141" t="s">
        <v>408</v>
      </c>
    </row>
    <row r="83" spans="2:12" x14ac:dyDescent="0.3">
      <c r="C83" s="8" t="s">
        <v>94</v>
      </c>
      <c r="D83" s="11" t="s">
        <v>129</v>
      </c>
      <c r="E83" s="352">
        <v>525.9855</v>
      </c>
      <c r="F83" s="352">
        <v>557.73400000000004</v>
      </c>
      <c r="G83" s="352">
        <v>591.10900000000004</v>
      </c>
      <c r="H83" s="352">
        <v>620.24300000000005</v>
      </c>
      <c r="I83" s="352">
        <v>638.36099999999999</v>
      </c>
      <c r="K83" s="141"/>
    </row>
    <row r="84" spans="2:12" x14ac:dyDescent="0.3">
      <c r="C84" s="8" t="s">
        <v>96</v>
      </c>
      <c r="D84" s="11" t="s">
        <v>129</v>
      </c>
      <c r="E84" s="352">
        <v>940.43100000000004</v>
      </c>
      <c r="F84" s="352">
        <v>1004.712</v>
      </c>
      <c r="G84" s="352">
        <v>1067.268</v>
      </c>
      <c r="H84" s="352">
        <v>1133.597</v>
      </c>
      <c r="I84" s="352">
        <v>1208.6790000000001</v>
      </c>
      <c r="K84" s="141"/>
    </row>
    <row r="85" spans="2:12" x14ac:dyDescent="0.3">
      <c r="C85" s="8" t="s">
        <v>98</v>
      </c>
      <c r="D85" s="11" t="s">
        <v>129</v>
      </c>
      <c r="E85" s="352">
        <v>16.728999999999999</v>
      </c>
      <c r="F85" s="352">
        <v>44.369</v>
      </c>
      <c r="G85" s="352">
        <v>49.72</v>
      </c>
      <c r="H85" s="352">
        <v>50.744</v>
      </c>
      <c r="I85" s="352">
        <v>52.012</v>
      </c>
      <c r="K85" s="141"/>
    </row>
    <row r="86" spans="2:12" x14ac:dyDescent="0.3">
      <c r="C86" s="8" t="s">
        <v>100</v>
      </c>
      <c r="D86" s="11" t="s">
        <v>129</v>
      </c>
      <c r="E86" s="352">
        <v>326.24700000000001</v>
      </c>
      <c r="F86" s="352">
        <v>338.72300000000001</v>
      </c>
      <c r="G86" s="352">
        <v>354.96800000000002</v>
      </c>
      <c r="H86" s="352">
        <v>375.84699999999998</v>
      </c>
      <c r="I86" s="352">
        <v>395.113</v>
      </c>
      <c r="K86" s="141"/>
    </row>
    <row r="87" spans="2:12" x14ac:dyDescent="0.3">
      <c r="C87" s="8" t="s">
        <v>102</v>
      </c>
      <c r="D87" s="11" t="s">
        <v>129</v>
      </c>
      <c r="E87" s="352">
        <v>47.182000000000002</v>
      </c>
      <c r="F87" s="352">
        <v>49.554830136986297</v>
      </c>
      <c r="G87" s="352">
        <v>49.462000000000003</v>
      </c>
      <c r="H87" s="352">
        <v>53.079000000000001</v>
      </c>
      <c r="I87" s="352">
        <v>58.616</v>
      </c>
      <c r="K87" s="141"/>
    </row>
    <row r="88" spans="2:12" x14ac:dyDescent="0.3">
      <c r="E88" s="353"/>
      <c r="F88" s="353"/>
      <c r="G88" s="353"/>
      <c r="H88" s="353"/>
      <c r="I88" s="353"/>
    </row>
    <row r="89" spans="2:12" ht="13.5" x14ac:dyDescent="0.35">
      <c r="B89" s="38" t="s">
        <v>222</v>
      </c>
      <c r="C89" s="38"/>
      <c r="D89" s="39"/>
      <c r="E89" s="31"/>
      <c r="F89" s="31"/>
      <c r="G89" s="31"/>
      <c r="H89" s="31"/>
      <c r="I89" s="31"/>
      <c r="J89" s="38"/>
      <c r="K89" s="143" t="s">
        <v>221</v>
      </c>
      <c r="L89" s="38"/>
    </row>
    <row r="90" spans="2:12" x14ac:dyDescent="0.3">
      <c r="E90" s="353"/>
      <c r="F90" s="353"/>
      <c r="G90" s="353"/>
      <c r="H90" s="353"/>
      <c r="I90" s="353"/>
    </row>
    <row r="91" spans="2:12" x14ac:dyDescent="0.3">
      <c r="C91" s="8" t="s">
        <v>80</v>
      </c>
      <c r="D91" s="11" t="s">
        <v>129</v>
      </c>
      <c r="E91" s="352">
        <v>1381.3792563058701</v>
      </c>
      <c r="F91" s="352">
        <v>1422.7450868823601</v>
      </c>
      <c r="G91" s="352">
        <v>1454.665</v>
      </c>
      <c r="H91" s="352">
        <v>1499.12374</v>
      </c>
      <c r="I91" s="352">
        <v>1535.9169999999999</v>
      </c>
      <c r="K91" s="141"/>
    </row>
    <row r="92" spans="2:12" x14ac:dyDescent="0.3">
      <c r="C92" s="8" t="s">
        <v>82</v>
      </c>
      <c r="D92" s="11" t="s">
        <v>129</v>
      </c>
      <c r="E92" s="352">
        <v>456.44600000000003</v>
      </c>
      <c r="F92" s="352">
        <v>482.81400000000002</v>
      </c>
      <c r="G92" s="352">
        <v>505.30200000000002</v>
      </c>
      <c r="H92" s="352">
        <v>525.46</v>
      </c>
      <c r="I92" s="352">
        <v>548.51599999999996</v>
      </c>
      <c r="K92" s="141"/>
    </row>
    <row r="93" spans="2:12" x14ac:dyDescent="0.3">
      <c r="C93" s="8" t="s">
        <v>85</v>
      </c>
      <c r="D93" s="11" t="s">
        <v>129</v>
      </c>
      <c r="E93" s="357"/>
      <c r="F93" s="357"/>
      <c r="G93" s="357"/>
      <c r="H93" s="352">
        <v>7.3179999999999996</v>
      </c>
      <c r="I93" s="352">
        <v>7.4169999999999998</v>
      </c>
      <c r="K93" s="141" t="s">
        <v>406</v>
      </c>
    </row>
    <row r="94" spans="2:12" x14ac:dyDescent="0.3">
      <c r="C94" s="8" t="s">
        <v>87</v>
      </c>
      <c r="D94" s="11" t="s">
        <v>129</v>
      </c>
      <c r="E94" s="352">
        <v>341.11500000000001</v>
      </c>
      <c r="F94" s="352">
        <v>361.83499999999998</v>
      </c>
      <c r="G94" s="352">
        <v>385.005</v>
      </c>
      <c r="H94" s="352">
        <v>409.654</v>
      </c>
      <c r="I94" s="352">
        <v>432.07100000000003</v>
      </c>
      <c r="K94" s="141"/>
    </row>
    <row r="95" spans="2:12" x14ac:dyDescent="0.3">
      <c r="C95" s="8" t="s">
        <v>89</v>
      </c>
      <c r="D95" s="11" t="s">
        <v>129</v>
      </c>
      <c r="E95" s="352">
        <v>1289.1890000000001</v>
      </c>
      <c r="F95" s="352">
        <v>1280.4069999999999</v>
      </c>
      <c r="G95" s="352">
        <v>1335.337</v>
      </c>
      <c r="H95" s="352">
        <v>1362.241</v>
      </c>
      <c r="I95" s="352">
        <v>1403.617</v>
      </c>
      <c r="K95" s="141" t="s">
        <v>407</v>
      </c>
    </row>
    <row r="96" spans="2:12" x14ac:dyDescent="0.3">
      <c r="C96" s="8" t="s">
        <v>91</v>
      </c>
      <c r="D96" s="11" t="s">
        <v>129</v>
      </c>
      <c r="E96" s="352">
        <v>538.99300000000005</v>
      </c>
      <c r="F96" s="352">
        <v>554.42499999999995</v>
      </c>
      <c r="G96" s="352">
        <v>578.15599999999995</v>
      </c>
      <c r="H96" s="352">
        <v>594.37099999999998</v>
      </c>
      <c r="I96" s="352">
        <v>607.16200000000003</v>
      </c>
      <c r="K96" s="141" t="s">
        <v>408</v>
      </c>
    </row>
    <row r="97" spans="2:12" x14ac:dyDescent="0.3">
      <c r="C97" s="8" t="s">
        <v>94</v>
      </c>
      <c r="D97" s="11" t="s">
        <v>129</v>
      </c>
      <c r="E97" s="352">
        <v>787.30799999999999</v>
      </c>
      <c r="F97" s="352">
        <v>809.101</v>
      </c>
      <c r="G97" s="352">
        <v>817.20699999999999</v>
      </c>
      <c r="H97" s="352">
        <v>824.63099999999997</v>
      </c>
      <c r="I97" s="352">
        <v>830.28599999999994</v>
      </c>
      <c r="K97" s="141"/>
    </row>
    <row r="98" spans="2:12" x14ac:dyDescent="0.3">
      <c r="C98" s="8" t="s">
        <v>96</v>
      </c>
      <c r="D98" s="11" t="s">
        <v>129</v>
      </c>
      <c r="E98" s="352">
        <v>1217.1220000000001</v>
      </c>
      <c r="F98" s="352">
        <v>1269.828</v>
      </c>
      <c r="G98" s="352">
        <v>1336.3230000000001</v>
      </c>
      <c r="H98" s="352">
        <v>1438.8030000000001</v>
      </c>
      <c r="I98" s="352">
        <v>1562.932</v>
      </c>
      <c r="K98" s="141"/>
    </row>
    <row r="99" spans="2:12" x14ac:dyDescent="0.3">
      <c r="C99" s="8" t="s">
        <v>98</v>
      </c>
      <c r="D99" s="11" t="s">
        <v>129</v>
      </c>
      <c r="E99" s="352">
        <v>1098.587</v>
      </c>
      <c r="F99" s="352">
        <v>1143.348</v>
      </c>
      <c r="G99" s="352">
        <v>1186.98</v>
      </c>
      <c r="H99" s="352">
        <v>1238.6110000000001</v>
      </c>
      <c r="I99" s="352">
        <v>1297.576</v>
      </c>
      <c r="K99" s="141"/>
    </row>
    <row r="100" spans="2:12" x14ac:dyDescent="0.3">
      <c r="C100" s="8" t="s">
        <v>100</v>
      </c>
      <c r="D100" s="11" t="s">
        <v>129</v>
      </c>
      <c r="E100" s="352">
        <v>306.72300000000001</v>
      </c>
      <c r="F100" s="352">
        <v>318.51</v>
      </c>
      <c r="G100" s="352">
        <v>332.50200000000001</v>
      </c>
      <c r="H100" s="352">
        <v>345.61</v>
      </c>
      <c r="I100" s="352">
        <v>357.83800000000002</v>
      </c>
      <c r="K100" s="141"/>
    </row>
    <row r="101" spans="2:12" x14ac:dyDescent="0.3">
      <c r="C101" s="8" t="s">
        <v>102</v>
      </c>
      <c r="D101" s="11" t="s">
        <v>129</v>
      </c>
      <c r="E101" s="352">
        <v>952.06600000000003</v>
      </c>
      <c r="F101" s="352">
        <v>995.19599315068501</v>
      </c>
      <c r="G101" s="352">
        <v>1035.4290000000001</v>
      </c>
      <c r="H101" s="352">
        <v>1072.3630000000001</v>
      </c>
      <c r="I101" s="352">
        <v>1114.0360000000001</v>
      </c>
      <c r="K101" s="141"/>
    </row>
    <row r="102" spans="2:12" x14ac:dyDescent="0.3">
      <c r="E102" s="353"/>
      <c r="F102" s="353"/>
      <c r="G102" s="353"/>
      <c r="H102" s="353"/>
      <c r="I102" s="353"/>
    </row>
    <row r="103" spans="2:12" s="30" customFormat="1" ht="13.5" x14ac:dyDescent="0.35">
      <c r="B103" s="9" t="s">
        <v>409</v>
      </c>
      <c r="C103" s="9"/>
      <c r="D103" s="10"/>
      <c r="E103" s="358"/>
      <c r="F103" s="358"/>
      <c r="G103" s="358"/>
      <c r="H103" s="358"/>
      <c r="I103" s="358"/>
      <c r="J103" s="9"/>
      <c r="K103" s="9"/>
      <c r="L103" s="9"/>
    </row>
    <row r="104" spans="2:12" x14ac:dyDescent="0.3">
      <c r="E104" s="353"/>
      <c r="F104" s="353"/>
      <c r="G104" s="353"/>
      <c r="H104" s="353"/>
      <c r="I104" s="353"/>
    </row>
    <row r="105" spans="2:12" ht="13.5" x14ac:dyDescent="0.35">
      <c r="B105" s="38" t="s">
        <v>193</v>
      </c>
      <c r="C105" s="38"/>
      <c r="D105" s="39"/>
      <c r="E105" s="31"/>
      <c r="F105" s="31"/>
      <c r="G105" s="31"/>
      <c r="H105" s="31"/>
      <c r="I105" s="31"/>
      <c r="J105" s="38"/>
      <c r="K105" s="143" t="s">
        <v>192</v>
      </c>
      <c r="L105" s="38"/>
    </row>
    <row r="106" spans="2:12" x14ac:dyDescent="0.3">
      <c r="E106" s="353"/>
      <c r="F106" s="353"/>
      <c r="G106" s="353"/>
      <c r="H106" s="353"/>
      <c r="I106" s="353"/>
    </row>
    <row r="107" spans="2:12" x14ac:dyDescent="0.3">
      <c r="C107" s="8" t="s">
        <v>80</v>
      </c>
      <c r="D107" s="11" t="s">
        <v>131</v>
      </c>
      <c r="E107" s="352">
        <v>22.212624486583799</v>
      </c>
      <c r="F107" s="352">
        <v>22.862199478662699</v>
      </c>
      <c r="G107" s="352">
        <v>23.293347858718601</v>
      </c>
      <c r="H107" s="352">
        <v>23.518509246588501</v>
      </c>
      <c r="I107" s="352">
        <v>23.7304723208517</v>
      </c>
      <c r="K107" s="141"/>
    </row>
    <row r="108" spans="2:12" x14ac:dyDescent="0.3">
      <c r="C108" s="8" t="s">
        <v>82</v>
      </c>
      <c r="D108" s="11" t="s">
        <v>131</v>
      </c>
      <c r="E108" s="352">
        <v>30.467527950170801</v>
      </c>
      <c r="F108" s="352">
        <v>29.556026477148901</v>
      </c>
      <c r="G108" s="352">
        <v>28.700956740013201</v>
      </c>
      <c r="H108" s="352">
        <v>27.796453080105</v>
      </c>
      <c r="I108" s="352">
        <v>27.6009518564017</v>
      </c>
      <c r="K108" s="141"/>
    </row>
    <row r="109" spans="2:12" x14ac:dyDescent="0.3">
      <c r="C109" s="8" t="s">
        <v>85</v>
      </c>
      <c r="D109" s="11" t="s">
        <v>131</v>
      </c>
      <c r="E109" s="352">
        <v>22.832876911946101</v>
      </c>
      <c r="F109" s="352">
        <v>22.8820580825126</v>
      </c>
      <c r="G109" s="352">
        <v>22.892714242921901</v>
      </c>
      <c r="H109" s="352">
        <v>22.929161312245149</v>
      </c>
      <c r="I109" s="352">
        <v>23</v>
      </c>
      <c r="K109" s="141" t="s">
        <v>410</v>
      </c>
    </row>
    <row r="110" spans="2:12" x14ac:dyDescent="0.3">
      <c r="C110" s="8" t="s">
        <v>87</v>
      </c>
      <c r="D110" s="11" t="s">
        <v>131</v>
      </c>
      <c r="E110" s="352">
        <v>24.5954977417652</v>
      </c>
      <c r="F110" s="352">
        <v>24.867616176748601</v>
      </c>
      <c r="G110" s="352">
        <v>25.025299682297501</v>
      </c>
      <c r="H110" s="352">
        <v>25.1575278520653</v>
      </c>
      <c r="I110" s="352">
        <v>25.275933410111801</v>
      </c>
      <c r="K110" s="141"/>
    </row>
    <row r="111" spans="2:12" x14ac:dyDescent="0.3">
      <c r="C111" s="8" t="s">
        <v>89</v>
      </c>
      <c r="D111" s="11" t="s">
        <v>131</v>
      </c>
      <c r="E111" s="352">
        <v>21.643123961648602</v>
      </c>
      <c r="F111" s="352">
        <v>22.387019500780301</v>
      </c>
      <c r="G111" s="352">
        <v>23.089607968240902</v>
      </c>
      <c r="H111" s="352">
        <v>23.36</v>
      </c>
      <c r="I111" s="352">
        <v>23.51713188501207</v>
      </c>
      <c r="K111" s="141" t="s">
        <v>411</v>
      </c>
    </row>
    <row r="112" spans="2:12" x14ac:dyDescent="0.3">
      <c r="C112" s="8" t="s">
        <v>91</v>
      </c>
      <c r="D112" s="11" t="s">
        <v>131</v>
      </c>
      <c r="E112" s="352">
        <v>24.874694348050294</v>
      </c>
      <c r="F112" s="352">
        <v>25.139946329322743</v>
      </c>
      <c r="G112" s="352">
        <v>25.334369851968997</v>
      </c>
      <c r="H112" s="352">
        <v>25.509146190775716</v>
      </c>
      <c r="I112" s="352">
        <v>25.585033426191877</v>
      </c>
      <c r="K112" s="141" t="s">
        <v>412</v>
      </c>
    </row>
    <row r="113" spans="2:12" x14ac:dyDescent="0.3">
      <c r="C113" s="8" t="s">
        <v>94</v>
      </c>
      <c r="D113" s="11" t="s">
        <v>131</v>
      </c>
      <c r="E113" s="352">
        <v>26.944962589980801</v>
      </c>
      <c r="F113" s="352">
        <v>26.3412154665637</v>
      </c>
      <c r="G113" s="352">
        <v>24.440633791432901</v>
      </c>
      <c r="H113" s="352">
        <v>22.4797301381696</v>
      </c>
      <c r="I113" s="352">
        <v>23.019052630277699</v>
      </c>
      <c r="K113" s="141"/>
    </row>
    <row r="114" spans="2:12" x14ac:dyDescent="0.3">
      <c r="C114" s="8" t="s">
        <v>96</v>
      </c>
      <c r="D114" s="11" t="s">
        <v>131</v>
      </c>
      <c r="E114" s="352">
        <v>23.001860873534199</v>
      </c>
      <c r="F114" s="352">
        <v>23.140838165067819</v>
      </c>
      <c r="G114" s="352">
        <v>23.606634947933404</v>
      </c>
      <c r="H114" s="352">
        <v>23.937971582913651</v>
      </c>
      <c r="I114" s="352">
        <v>24.34</v>
      </c>
      <c r="K114" s="141"/>
    </row>
    <row r="115" spans="2:12" x14ac:dyDescent="0.3">
      <c r="C115" s="8" t="s">
        <v>98</v>
      </c>
      <c r="D115" s="11" t="s">
        <v>131</v>
      </c>
      <c r="E115" s="352">
        <v>32.779340702020697</v>
      </c>
      <c r="F115" s="352">
        <v>31.298689456794602</v>
      </c>
      <c r="G115" s="352">
        <v>29.612281319429599</v>
      </c>
      <c r="H115" s="352">
        <v>28.277238055729899</v>
      </c>
      <c r="I115" s="352">
        <v>28.825441132804801</v>
      </c>
      <c r="K115" s="141"/>
    </row>
    <row r="116" spans="2:12" x14ac:dyDescent="0.3">
      <c r="C116" s="8" t="s">
        <v>100</v>
      </c>
      <c r="D116" s="11" t="s">
        <v>131</v>
      </c>
      <c r="E116" s="352">
        <v>22.1072937166606</v>
      </c>
      <c r="F116" s="352">
        <v>22.620772872664499</v>
      </c>
      <c r="G116" s="352">
        <v>23.287364382018101</v>
      </c>
      <c r="H116" s="352">
        <v>23.862924691718899</v>
      </c>
      <c r="I116" s="352">
        <v>24.428124702833301</v>
      </c>
      <c r="K116" s="141"/>
    </row>
    <row r="117" spans="2:12" x14ac:dyDescent="0.3">
      <c r="C117" s="8" t="s">
        <v>102</v>
      </c>
      <c r="D117" s="11" t="s">
        <v>131</v>
      </c>
      <c r="E117" s="352">
        <v>19.377670164490201</v>
      </c>
      <c r="F117" s="352">
        <v>19.739270900807298</v>
      </c>
      <c r="G117" s="352">
        <v>20.109288165539901</v>
      </c>
      <c r="H117" s="352">
        <v>20.4795611423507</v>
      </c>
      <c r="I117" s="352">
        <v>20.8358693950995</v>
      </c>
      <c r="K117" s="141"/>
    </row>
    <row r="118" spans="2:12" x14ac:dyDescent="0.3">
      <c r="C118" s="8" t="s">
        <v>104</v>
      </c>
      <c r="D118" s="11" t="s">
        <v>131</v>
      </c>
      <c r="E118" s="352">
        <v>16.939419324389799</v>
      </c>
      <c r="F118" s="352">
        <v>16.7373665057757</v>
      </c>
      <c r="G118" s="352">
        <v>16.505432507187201</v>
      </c>
      <c r="H118" s="352">
        <v>16.303769910811202</v>
      </c>
      <c r="I118" s="352">
        <v>16.204756243920801</v>
      </c>
      <c r="K118" s="141"/>
    </row>
    <row r="119" spans="2:12" x14ac:dyDescent="0.3">
      <c r="C119" s="8" t="s">
        <v>106</v>
      </c>
      <c r="D119" s="11" t="s">
        <v>131</v>
      </c>
      <c r="E119" s="352">
        <v>17.808785068543202</v>
      </c>
      <c r="F119" s="352">
        <v>18.404433618326902</v>
      </c>
      <c r="G119" s="352">
        <v>19.140503151649501</v>
      </c>
      <c r="H119" s="352">
        <v>19.906228167346899</v>
      </c>
      <c r="I119" s="352">
        <v>20.688275210931199</v>
      </c>
      <c r="K119" s="141"/>
    </row>
    <row r="120" spans="2:12" x14ac:dyDescent="0.3">
      <c r="C120" s="8" t="s">
        <v>108</v>
      </c>
      <c r="D120" s="11" t="s">
        <v>131</v>
      </c>
      <c r="E120" s="352">
        <v>14.4022454807942</v>
      </c>
      <c r="F120" s="352">
        <v>14.472402839707</v>
      </c>
      <c r="G120" s="352">
        <v>14.526757297381801</v>
      </c>
      <c r="H120" s="352">
        <v>14.562212904141299</v>
      </c>
      <c r="I120" s="352">
        <v>14.5961757378114</v>
      </c>
      <c r="K120" s="141"/>
    </row>
    <row r="121" spans="2:12" x14ac:dyDescent="0.3">
      <c r="C121" s="8" t="s">
        <v>112</v>
      </c>
      <c r="D121" s="11" t="s">
        <v>131</v>
      </c>
      <c r="E121" s="352">
        <v>19.099913108773698</v>
      </c>
      <c r="F121" s="352">
        <v>19.478567903724901</v>
      </c>
      <c r="G121" s="352">
        <v>19.869652462417498</v>
      </c>
      <c r="H121" s="352">
        <v>20.163693980846801</v>
      </c>
      <c r="I121" s="352">
        <v>20.4516587485756</v>
      </c>
      <c r="K121" s="141"/>
    </row>
    <row r="122" spans="2:12" x14ac:dyDescent="0.3">
      <c r="C122" s="8" t="s">
        <v>114</v>
      </c>
      <c r="D122" s="11" t="s">
        <v>131</v>
      </c>
      <c r="E122" s="352">
        <v>20.175786648919299</v>
      </c>
      <c r="F122" s="352">
        <v>20.387178539729099</v>
      </c>
      <c r="G122" s="352">
        <v>20.974264267231</v>
      </c>
      <c r="H122" s="352">
        <v>22.028200338708999</v>
      </c>
      <c r="I122" s="352">
        <v>22.3078878155399</v>
      </c>
      <c r="K122" s="141"/>
    </row>
    <row r="123" spans="2:12" x14ac:dyDescent="0.3">
      <c r="C123" s="8" t="s">
        <v>110</v>
      </c>
      <c r="D123" s="11" t="s">
        <v>131</v>
      </c>
      <c r="E123" s="352">
        <v>18.237127740577101</v>
      </c>
      <c r="F123" s="352">
        <v>18.2171583250135</v>
      </c>
      <c r="G123" s="352">
        <v>18.947977050716499</v>
      </c>
      <c r="H123" s="352">
        <v>18.8563361690039</v>
      </c>
      <c r="I123" s="352">
        <v>18.502676794723801</v>
      </c>
      <c r="K123" s="141"/>
    </row>
    <row r="124" spans="2:12" x14ac:dyDescent="0.3">
      <c r="E124" s="353"/>
      <c r="F124" s="353"/>
      <c r="G124" s="353"/>
      <c r="H124" s="353"/>
      <c r="I124" s="353"/>
    </row>
    <row r="125" spans="2:12" ht="13.5" x14ac:dyDescent="0.35">
      <c r="B125" s="38" t="s">
        <v>195</v>
      </c>
      <c r="C125" s="38"/>
      <c r="D125" s="39"/>
      <c r="E125" s="31"/>
      <c r="F125" s="31"/>
      <c r="G125" s="31"/>
      <c r="H125" s="31"/>
      <c r="I125" s="31"/>
      <c r="J125" s="38"/>
      <c r="K125" s="143" t="s">
        <v>194</v>
      </c>
      <c r="L125" s="38"/>
    </row>
    <row r="126" spans="2:12" x14ac:dyDescent="0.3">
      <c r="E126" s="353"/>
      <c r="F126" s="353"/>
      <c r="G126" s="353"/>
      <c r="H126" s="353"/>
      <c r="I126" s="353"/>
    </row>
    <row r="127" spans="2:12" x14ac:dyDescent="0.3">
      <c r="C127" s="8" t="s">
        <v>80</v>
      </c>
      <c r="D127" s="11" t="s">
        <v>131</v>
      </c>
      <c r="E127" s="352">
        <v>22.212624486583799</v>
      </c>
      <c r="F127" s="352">
        <v>22.862199478662699</v>
      </c>
      <c r="G127" s="352">
        <v>23.293347858718601</v>
      </c>
      <c r="H127" s="352">
        <v>23.518509246588501</v>
      </c>
      <c r="I127" s="352">
        <v>23.7304723208517</v>
      </c>
      <c r="K127" s="141"/>
    </row>
    <row r="128" spans="2:12" x14ac:dyDescent="0.3">
      <c r="C128" s="8" t="s">
        <v>82</v>
      </c>
      <c r="D128" s="11" t="s">
        <v>131</v>
      </c>
      <c r="E128" s="352">
        <v>30.467527950170801</v>
      </c>
      <c r="F128" s="352">
        <v>29.556026477148901</v>
      </c>
      <c r="G128" s="352">
        <v>28.700956740013201</v>
      </c>
      <c r="H128" s="352">
        <v>27.796453080105</v>
      </c>
      <c r="I128" s="352">
        <v>27.6009518564017</v>
      </c>
      <c r="K128" s="141"/>
    </row>
    <row r="129" spans="2:12" x14ac:dyDescent="0.3">
      <c r="C129" s="8" t="s">
        <v>85</v>
      </c>
      <c r="D129" s="11" t="s">
        <v>131</v>
      </c>
      <c r="E129" s="357"/>
      <c r="F129" s="357"/>
      <c r="G129" s="357"/>
      <c r="H129" s="352">
        <v>23.4108518387579</v>
      </c>
      <c r="I129" s="352">
        <v>23.594975900277301</v>
      </c>
      <c r="K129" s="141" t="s">
        <v>410</v>
      </c>
    </row>
    <row r="130" spans="2:12" x14ac:dyDescent="0.3">
      <c r="C130" s="8" t="s">
        <v>87</v>
      </c>
      <c r="D130" s="11" t="s">
        <v>131</v>
      </c>
      <c r="E130" s="352">
        <v>24.5954977417652</v>
      </c>
      <c r="F130" s="352">
        <v>24.867616176748601</v>
      </c>
      <c r="G130" s="352">
        <v>25.025299682297501</v>
      </c>
      <c r="H130" s="352">
        <v>25.1575278520653</v>
      </c>
      <c r="I130" s="352">
        <v>25.275933410111801</v>
      </c>
      <c r="K130" s="141"/>
    </row>
    <row r="131" spans="2:12" x14ac:dyDescent="0.3">
      <c r="C131" s="8" t="s">
        <v>89</v>
      </c>
      <c r="D131" s="11" t="s">
        <v>131</v>
      </c>
      <c r="E131" s="352">
        <v>21.643123961648602</v>
      </c>
      <c r="F131" s="352">
        <v>22.387019500780301</v>
      </c>
      <c r="G131" s="352">
        <v>23.089607968240902</v>
      </c>
      <c r="H131" s="352">
        <v>23.4108518387579</v>
      </c>
      <c r="I131" s="352">
        <v>23.594975900277301</v>
      </c>
      <c r="K131" s="141" t="s">
        <v>411</v>
      </c>
    </row>
    <row r="132" spans="2:12" x14ac:dyDescent="0.3">
      <c r="C132" s="8" t="s">
        <v>91</v>
      </c>
      <c r="D132" s="11" t="s">
        <v>131</v>
      </c>
      <c r="E132" s="352">
        <v>32.291160558899897</v>
      </c>
      <c r="F132" s="352">
        <v>32.497464198656303</v>
      </c>
      <c r="G132" s="352">
        <v>32.639097502346097</v>
      </c>
      <c r="H132" s="352">
        <v>32.483761854673702</v>
      </c>
      <c r="I132" s="352">
        <v>32.765310325746697</v>
      </c>
      <c r="K132" s="141" t="s">
        <v>412</v>
      </c>
    </row>
    <row r="133" spans="2:12" x14ac:dyDescent="0.3">
      <c r="C133" s="8" t="s">
        <v>94</v>
      </c>
      <c r="D133" s="11" t="s">
        <v>131</v>
      </c>
      <c r="E133" s="352">
        <v>26.944962589980801</v>
      </c>
      <c r="F133" s="352">
        <v>26.3412154665637</v>
      </c>
      <c r="G133" s="352">
        <v>24.440633791432901</v>
      </c>
      <c r="H133" s="352">
        <v>22.4797301381696</v>
      </c>
      <c r="I133" s="352">
        <v>23.019052630277699</v>
      </c>
      <c r="K133" s="141"/>
    </row>
    <row r="134" spans="2:12" x14ac:dyDescent="0.3">
      <c r="C134" s="8" t="s">
        <v>96</v>
      </c>
      <c r="D134" s="11" t="s">
        <v>131</v>
      </c>
      <c r="E134" s="352">
        <v>23.001860873534199</v>
      </c>
      <c r="F134" s="352">
        <v>23.140838165067819</v>
      </c>
      <c r="G134" s="352">
        <v>23.606634947933404</v>
      </c>
      <c r="H134" s="352">
        <v>23.937971582913651</v>
      </c>
      <c r="I134" s="352">
        <v>24.34</v>
      </c>
      <c r="K134" s="141"/>
    </row>
    <row r="135" spans="2:12" x14ac:dyDescent="0.3">
      <c r="C135" s="8" t="s">
        <v>98</v>
      </c>
      <c r="D135" s="11" t="s">
        <v>131</v>
      </c>
      <c r="E135" s="352">
        <v>32.779340702020697</v>
      </c>
      <c r="F135" s="352">
        <v>31.298689456794602</v>
      </c>
      <c r="G135" s="352">
        <v>29.612281319429599</v>
      </c>
      <c r="H135" s="352">
        <v>28.277238055729899</v>
      </c>
      <c r="I135" s="352">
        <v>28.825441132804801</v>
      </c>
      <c r="K135" s="141"/>
    </row>
    <row r="136" spans="2:12" x14ac:dyDescent="0.3">
      <c r="C136" s="8" t="s">
        <v>100</v>
      </c>
      <c r="D136" s="11" t="s">
        <v>131</v>
      </c>
      <c r="E136" s="352">
        <v>22.1072937166606</v>
      </c>
      <c r="F136" s="352">
        <v>22.620772872664499</v>
      </c>
      <c r="G136" s="352">
        <v>23.287364382018101</v>
      </c>
      <c r="H136" s="352">
        <v>23.862924691718899</v>
      </c>
      <c r="I136" s="352">
        <v>24.428124702833301</v>
      </c>
      <c r="K136" s="141"/>
    </row>
    <row r="137" spans="2:12" x14ac:dyDescent="0.3">
      <c r="C137" s="8" t="s">
        <v>102</v>
      </c>
      <c r="D137" s="11" t="s">
        <v>131</v>
      </c>
      <c r="E137" s="352">
        <v>19.377670164490201</v>
      </c>
      <c r="F137" s="352">
        <v>19.739270900807298</v>
      </c>
      <c r="G137" s="352">
        <v>20.109288165539901</v>
      </c>
      <c r="H137" s="352">
        <v>20.4795611423507</v>
      </c>
      <c r="I137" s="352">
        <v>20.8358693950995</v>
      </c>
      <c r="K137" s="141"/>
    </row>
    <row r="138" spans="2:12" x14ac:dyDescent="0.3">
      <c r="E138" s="353"/>
      <c r="F138" s="353"/>
      <c r="G138" s="353"/>
      <c r="H138" s="353"/>
      <c r="I138" s="353"/>
    </row>
    <row r="139" spans="2:12" ht="13.5" x14ac:dyDescent="0.35">
      <c r="B139" s="38" t="s">
        <v>197</v>
      </c>
      <c r="C139" s="38"/>
      <c r="D139" s="39"/>
      <c r="E139" s="31"/>
      <c r="F139" s="31"/>
      <c r="G139" s="31"/>
      <c r="H139" s="31"/>
      <c r="I139" s="31"/>
      <c r="J139" s="38"/>
      <c r="K139" s="143" t="s">
        <v>196</v>
      </c>
      <c r="L139" s="38"/>
    </row>
    <row r="140" spans="2:12" x14ac:dyDescent="0.3">
      <c r="E140" s="353"/>
      <c r="F140" s="353"/>
      <c r="G140" s="353"/>
      <c r="H140" s="353"/>
      <c r="I140" s="353"/>
    </row>
    <row r="141" spans="2:12" x14ac:dyDescent="0.3">
      <c r="C141" s="8" t="s">
        <v>80</v>
      </c>
      <c r="D141" s="11" t="s">
        <v>131</v>
      </c>
      <c r="E141" s="352">
        <v>28.876411832559</v>
      </c>
      <c r="F141" s="352">
        <v>29.7208593222615</v>
      </c>
      <c r="G141" s="352">
        <v>30.281352216334199</v>
      </c>
      <c r="H141" s="352">
        <v>30.574062020565101</v>
      </c>
      <c r="I141" s="352">
        <v>30.8496140171072</v>
      </c>
      <c r="K141" s="141"/>
    </row>
    <row r="142" spans="2:12" x14ac:dyDescent="0.3">
      <c r="C142" s="8" t="s">
        <v>82</v>
      </c>
      <c r="D142" s="11" t="s">
        <v>131</v>
      </c>
      <c r="E142" s="352">
        <v>39.607786335222002</v>
      </c>
      <c r="F142" s="352">
        <v>38.422834420293597</v>
      </c>
      <c r="G142" s="352">
        <v>37.311243762017199</v>
      </c>
      <c r="H142" s="352">
        <v>36.1353890041364</v>
      </c>
      <c r="I142" s="352">
        <v>35.881237413322303</v>
      </c>
      <c r="K142" s="141"/>
    </row>
    <row r="143" spans="2:12" x14ac:dyDescent="0.3">
      <c r="C143" s="8" t="s">
        <v>85</v>
      </c>
      <c r="D143" s="11" t="s">
        <v>131</v>
      </c>
      <c r="E143" s="357"/>
      <c r="F143" s="357"/>
      <c r="G143" s="357"/>
      <c r="H143" s="352">
        <v>30.4341073903853</v>
      </c>
      <c r="I143" s="352">
        <v>30.673468670360499</v>
      </c>
      <c r="K143" s="141" t="s">
        <v>410</v>
      </c>
    </row>
    <row r="144" spans="2:12" x14ac:dyDescent="0.3">
      <c r="C144" s="8" t="s">
        <v>87</v>
      </c>
      <c r="D144" s="11" t="s">
        <v>131</v>
      </c>
      <c r="E144" s="352">
        <v>31.974147064294801</v>
      </c>
      <c r="F144" s="352">
        <v>32.327901029773102</v>
      </c>
      <c r="G144" s="352">
        <v>32.532889586986798</v>
      </c>
      <c r="H144" s="352">
        <v>32.704786207684897</v>
      </c>
      <c r="I144" s="352">
        <v>32.858713433145397</v>
      </c>
      <c r="K144" s="141"/>
    </row>
    <row r="145" spans="2:12" x14ac:dyDescent="0.3">
      <c r="C145" s="8" t="s">
        <v>89</v>
      </c>
      <c r="D145" s="11" t="s">
        <v>131</v>
      </c>
      <c r="E145" s="352">
        <v>28.136061150143199</v>
      </c>
      <c r="F145" s="352">
        <v>29.103125351014398</v>
      </c>
      <c r="G145" s="352">
        <v>30.016490358713099</v>
      </c>
      <c r="H145" s="352">
        <v>30.4341073903853</v>
      </c>
      <c r="I145" s="352">
        <v>30.673468670360499</v>
      </c>
      <c r="K145" s="141" t="s">
        <v>411</v>
      </c>
    </row>
    <row r="146" spans="2:12" x14ac:dyDescent="0.3">
      <c r="C146" s="8" t="s">
        <v>91</v>
      </c>
      <c r="D146" s="11" t="s">
        <v>131</v>
      </c>
      <c r="E146" s="352">
        <v>41.978508726569899</v>
      </c>
      <c r="F146" s="352">
        <v>42.246703458253201</v>
      </c>
      <c r="G146" s="352">
        <v>42.430826753049999</v>
      </c>
      <c r="H146" s="352">
        <v>42.228890411075803</v>
      </c>
      <c r="I146" s="352">
        <v>42.594903423470697</v>
      </c>
      <c r="K146" s="141" t="s">
        <v>412</v>
      </c>
    </row>
    <row r="147" spans="2:12" x14ac:dyDescent="0.3">
      <c r="C147" s="8" t="s">
        <v>94</v>
      </c>
      <c r="D147" s="11" t="s">
        <v>131</v>
      </c>
      <c r="E147" s="352">
        <v>35.028451366975098</v>
      </c>
      <c r="F147" s="352">
        <v>34.243580106532796</v>
      </c>
      <c r="G147" s="352">
        <v>31.772823928862799</v>
      </c>
      <c r="H147" s="352">
        <v>29.223649179620399</v>
      </c>
      <c r="I147" s="352">
        <v>29.924768419361101</v>
      </c>
      <c r="K147" s="141"/>
    </row>
    <row r="148" spans="2:12" x14ac:dyDescent="0.3">
      <c r="C148" s="8" t="s">
        <v>96</v>
      </c>
      <c r="D148" s="11" t="s">
        <v>131</v>
      </c>
      <c r="E148" s="352">
        <v>29.902419135594499</v>
      </c>
      <c r="F148" s="352">
        <v>30.083089614588165</v>
      </c>
      <c r="G148" s="352">
        <v>30.688625432313426</v>
      </c>
      <c r="H148" s="352">
        <v>31.119363057787748</v>
      </c>
      <c r="I148" s="352">
        <v>31.64</v>
      </c>
      <c r="K148" s="141"/>
    </row>
    <row r="149" spans="2:12" x14ac:dyDescent="0.3">
      <c r="C149" s="8" t="s">
        <v>98</v>
      </c>
      <c r="D149" s="11" t="s">
        <v>131</v>
      </c>
      <c r="E149" s="352">
        <v>42.613142912626898</v>
      </c>
      <c r="F149" s="352">
        <v>40.688296293832998</v>
      </c>
      <c r="G149" s="352">
        <v>38.4959657152585</v>
      </c>
      <c r="H149" s="352">
        <v>36.760409472448799</v>
      </c>
      <c r="I149" s="352">
        <v>37.473073472646199</v>
      </c>
      <c r="K149" s="141"/>
    </row>
    <row r="150" spans="2:12" x14ac:dyDescent="0.3">
      <c r="C150" s="8" t="s">
        <v>100</v>
      </c>
      <c r="D150" s="11" t="s">
        <v>131</v>
      </c>
      <c r="E150" s="352">
        <v>28.7394818316588</v>
      </c>
      <c r="F150" s="352">
        <v>29.407004734463801</v>
      </c>
      <c r="G150" s="352">
        <v>30.273573696623501</v>
      </c>
      <c r="H150" s="352">
        <v>31.021802099234499</v>
      </c>
      <c r="I150" s="352">
        <v>31.756562113683302</v>
      </c>
      <c r="K150" s="141"/>
    </row>
    <row r="151" spans="2:12" x14ac:dyDescent="0.3">
      <c r="C151" s="8" t="s">
        <v>102</v>
      </c>
      <c r="D151" s="11" t="s">
        <v>131</v>
      </c>
      <c r="E151" s="352">
        <v>25.190971213837301</v>
      </c>
      <c r="F151" s="352">
        <v>25.661052171049398</v>
      </c>
      <c r="G151" s="352">
        <v>26.142074615201899</v>
      </c>
      <c r="H151" s="352">
        <v>26.623429485055901</v>
      </c>
      <c r="I151" s="352">
        <v>27.086630213629402</v>
      </c>
      <c r="K151" s="141"/>
    </row>
    <row r="152" spans="2:12" x14ac:dyDescent="0.3">
      <c r="E152" s="353"/>
      <c r="F152" s="353"/>
      <c r="G152" s="353"/>
      <c r="H152" s="353"/>
      <c r="I152" s="353"/>
    </row>
    <row r="153" spans="2:12" ht="13.5" x14ac:dyDescent="0.35">
      <c r="B153" s="38" t="s">
        <v>187</v>
      </c>
      <c r="C153" s="38"/>
      <c r="D153" s="39"/>
      <c r="E153" s="31"/>
      <c r="F153" s="31"/>
      <c r="G153" s="31"/>
      <c r="H153" s="31"/>
      <c r="I153" s="31"/>
      <c r="J153" s="38"/>
      <c r="K153" s="143" t="s">
        <v>186</v>
      </c>
      <c r="L153" s="38"/>
    </row>
    <row r="154" spans="2:12" x14ac:dyDescent="0.3">
      <c r="E154" s="353"/>
      <c r="F154" s="353"/>
      <c r="G154" s="353"/>
      <c r="H154" s="353"/>
      <c r="I154" s="353"/>
    </row>
    <row r="155" spans="2:12" x14ac:dyDescent="0.3">
      <c r="C155" s="8" t="s">
        <v>80</v>
      </c>
      <c r="D155" s="11" t="s">
        <v>131</v>
      </c>
      <c r="E155" s="352">
        <v>25.012165989233399</v>
      </c>
      <c r="F155" s="352">
        <v>25.662856936409099</v>
      </c>
      <c r="G155" s="352">
        <v>26.098464896176001</v>
      </c>
      <c r="H155" s="352">
        <v>26.329713482430801</v>
      </c>
      <c r="I155" s="352">
        <v>26.5476016193257</v>
      </c>
      <c r="K155" s="141"/>
    </row>
    <row r="156" spans="2:12" x14ac:dyDescent="0.3">
      <c r="C156" s="8" t="s">
        <v>82</v>
      </c>
      <c r="D156" s="11" t="s">
        <v>131</v>
      </c>
      <c r="E156" s="352">
        <v>38.977177768774801</v>
      </c>
      <c r="F156" s="352">
        <v>37.437064001542197</v>
      </c>
      <c r="G156" s="352">
        <v>35.916445444660297</v>
      </c>
      <c r="H156" s="352">
        <v>34.341913264078002</v>
      </c>
      <c r="I156" s="352">
        <v>34.168972285049499</v>
      </c>
      <c r="K156" s="141"/>
    </row>
    <row r="157" spans="2:12" x14ac:dyDescent="0.3">
      <c r="C157" s="8" t="s">
        <v>85</v>
      </c>
      <c r="D157" s="11" t="s">
        <v>131</v>
      </c>
      <c r="E157" s="352">
        <v>26.0338665583451</v>
      </c>
      <c r="F157" s="352">
        <v>26.101864842035901</v>
      </c>
      <c r="G157" s="352">
        <v>26.131083949160999</v>
      </c>
      <c r="H157" s="352">
        <v>26.289290050494539</v>
      </c>
      <c r="I157" s="352">
        <v>26.48</v>
      </c>
      <c r="K157" s="141" t="s">
        <v>410</v>
      </c>
    </row>
    <row r="158" spans="2:12" x14ac:dyDescent="0.3">
      <c r="C158" s="8" t="s">
        <v>87</v>
      </c>
      <c r="D158" s="11" t="s">
        <v>131</v>
      </c>
      <c r="E158" s="352">
        <v>27.546130668649301</v>
      </c>
      <c r="F158" s="352">
        <v>27.823934754016399</v>
      </c>
      <c r="G158" s="352">
        <v>27.9906967716251</v>
      </c>
      <c r="H158" s="352">
        <v>28.130283624768801</v>
      </c>
      <c r="I158" s="352">
        <v>28.2556348055857</v>
      </c>
      <c r="K158" s="141"/>
    </row>
    <row r="159" spans="2:12" x14ac:dyDescent="0.3">
      <c r="C159" s="8" t="s">
        <v>89</v>
      </c>
      <c r="D159" s="11" t="s">
        <v>131</v>
      </c>
      <c r="E159" s="352">
        <v>29.612358234255598</v>
      </c>
      <c r="F159" s="352">
        <v>29.9134034512924</v>
      </c>
      <c r="G159" s="352">
        <v>30.064466173538801</v>
      </c>
      <c r="H159" s="352">
        <v>29.15</v>
      </c>
      <c r="I159" s="352">
        <v>29.32</v>
      </c>
      <c r="K159" s="141" t="s">
        <v>411</v>
      </c>
    </row>
    <row r="160" spans="2:12" x14ac:dyDescent="0.3">
      <c r="C160" s="8" t="s">
        <v>91</v>
      </c>
      <c r="D160" s="11" t="s">
        <v>131</v>
      </c>
      <c r="E160" s="352">
        <v>28.714102163097948</v>
      </c>
      <c r="F160" s="352">
        <v>28.892285780809587</v>
      </c>
      <c r="G160" s="352">
        <v>29.072510071233662</v>
      </c>
      <c r="H160" s="352">
        <v>29.161622577276681</v>
      </c>
      <c r="I160" s="352">
        <v>29.135936999187578</v>
      </c>
      <c r="K160" s="141" t="s">
        <v>412</v>
      </c>
    </row>
    <row r="161" spans="2:12" x14ac:dyDescent="0.3">
      <c r="C161" s="8" t="s">
        <v>94</v>
      </c>
      <c r="D161" s="11" t="s">
        <v>131</v>
      </c>
      <c r="E161" s="352">
        <v>31.0105747031212</v>
      </c>
      <c r="F161" s="352">
        <v>30.4321644581009</v>
      </c>
      <c r="G161" s="352">
        <v>28.244330832317502</v>
      </c>
      <c r="H161" s="352">
        <v>26.333209576423801</v>
      </c>
      <c r="I161" s="352">
        <v>26.6283571377861</v>
      </c>
      <c r="K161" s="141"/>
    </row>
    <row r="162" spans="2:12" x14ac:dyDescent="0.3">
      <c r="C162" s="8" t="s">
        <v>96</v>
      </c>
      <c r="D162" s="11" t="s">
        <v>131</v>
      </c>
      <c r="E162" s="352">
        <v>31.752216816168801</v>
      </c>
      <c r="F162" s="352">
        <v>31.159141892246126</v>
      </c>
      <c r="G162" s="352">
        <v>30.862686676447495</v>
      </c>
      <c r="H162" s="352">
        <v>30.443984430762605</v>
      </c>
      <c r="I162" s="352">
        <v>30.86</v>
      </c>
      <c r="K162" s="141"/>
    </row>
    <row r="163" spans="2:12" x14ac:dyDescent="0.3">
      <c r="C163" s="8" t="s">
        <v>98</v>
      </c>
      <c r="D163" s="11" t="s">
        <v>131</v>
      </c>
      <c r="E163" s="352">
        <v>39.137539525277802</v>
      </c>
      <c r="F163" s="352">
        <v>37.701201212856198</v>
      </c>
      <c r="G163" s="352">
        <v>35.998406294577002</v>
      </c>
      <c r="H163" s="352">
        <v>34.018970173559303</v>
      </c>
      <c r="I163" s="352">
        <v>34.115886136616901</v>
      </c>
      <c r="K163" s="141"/>
    </row>
    <row r="164" spans="2:12" x14ac:dyDescent="0.3">
      <c r="C164" s="8" t="s">
        <v>100</v>
      </c>
      <c r="D164" s="11" t="s">
        <v>131</v>
      </c>
      <c r="E164" s="352">
        <v>27.613737793714499</v>
      </c>
      <c r="F164" s="352">
        <v>28.130072889924399</v>
      </c>
      <c r="G164" s="352">
        <v>28.798323660039401</v>
      </c>
      <c r="H164" s="352">
        <v>29.377830687139099</v>
      </c>
      <c r="I164" s="352">
        <v>29.944082326902901</v>
      </c>
      <c r="K164" s="141"/>
    </row>
    <row r="165" spans="2:12" x14ac:dyDescent="0.3">
      <c r="C165" s="8" t="s">
        <v>102</v>
      </c>
      <c r="D165" s="11" t="s">
        <v>131</v>
      </c>
      <c r="E165" s="352">
        <v>24.898119570222601</v>
      </c>
      <c r="F165" s="352">
        <v>25.253596585531799</v>
      </c>
      <c r="G165" s="352">
        <v>25.640687353470501</v>
      </c>
      <c r="H165" s="352">
        <v>26.044179337071402</v>
      </c>
      <c r="I165" s="352">
        <v>26.478201964735799</v>
      </c>
      <c r="K165" s="141"/>
    </row>
    <row r="166" spans="2:12" x14ac:dyDescent="0.3">
      <c r="C166" s="8" t="s">
        <v>104</v>
      </c>
      <c r="D166" s="11" t="s">
        <v>131</v>
      </c>
      <c r="E166" s="352">
        <v>25.2200052054975</v>
      </c>
      <c r="F166" s="352">
        <v>24.384003335518798</v>
      </c>
      <c r="G166" s="352">
        <v>23.5064723735779</v>
      </c>
      <c r="H166" s="352">
        <v>22.6643398440563</v>
      </c>
      <c r="I166" s="352">
        <v>22.570219761578802</v>
      </c>
      <c r="K166" s="141"/>
    </row>
    <row r="167" spans="2:12" x14ac:dyDescent="0.3">
      <c r="C167" s="8" t="s">
        <v>106</v>
      </c>
      <c r="D167" s="11" t="s">
        <v>131</v>
      </c>
      <c r="E167" s="352">
        <v>25.5625633124885</v>
      </c>
      <c r="F167" s="352">
        <v>25.6289569635831</v>
      </c>
      <c r="G167" s="352">
        <v>25.883333023632701</v>
      </c>
      <c r="H167" s="352">
        <v>26.1660438845791</v>
      </c>
      <c r="I167" s="352">
        <v>26.940495350946598</v>
      </c>
      <c r="K167" s="141"/>
    </row>
    <row r="168" spans="2:12" x14ac:dyDescent="0.3">
      <c r="C168" s="8" t="s">
        <v>108</v>
      </c>
      <c r="D168" s="11" t="s">
        <v>131</v>
      </c>
      <c r="E168" s="352">
        <v>19.000964989119201</v>
      </c>
      <c r="F168" s="352">
        <v>19.089390891578901</v>
      </c>
      <c r="G168" s="352">
        <v>19.143703497771298</v>
      </c>
      <c r="H168" s="352">
        <v>19.189665633236999</v>
      </c>
      <c r="I168" s="352">
        <v>19.226056600023501</v>
      </c>
      <c r="K168" s="141"/>
    </row>
    <row r="169" spans="2:12" x14ac:dyDescent="0.3">
      <c r="C169" s="8" t="s">
        <v>112</v>
      </c>
      <c r="D169" s="11" t="s">
        <v>131</v>
      </c>
      <c r="E169" s="352">
        <v>26.441330511396799</v>
      </c>
      <c r="F169" s="352">
        <v>26.480944384711599</v>
      </c>
      <c r="G169" s="352">
        <v>26.535133532899799</v>
      </c>
      <c r="H169" s="352">
        <v>26.4918749580333</v>
      </c>
      <c r="I169" s="352">
        <v>26.782531087614199</v>
      </c>
      <c r="K169" s="141"/>
    </row>
    <row r="170" spans="2:12" x14ac:dyDescent="0.3">
      <c r="C170" s="8" t="s">
        <v>114</v>
      </c>
      <c r="D170" s="11" t="s">
        <v>131</v>
      </c>
      <c r="E170" s="352">
        <v>26.139361001108</v>
      </c>
      <c r="F170" s="352">
        <v>26.353870866729899</v>
      </c>
      <c r="G170" s="352">
        <v>26.941875017074</v>
      </c>
      <c r="H170" s="352">
        <v>27.9871045859785</v>
      </c>
      <c r="I170" s="352">
        <v>28.2714114523402</v>
      </c>
      <c r="K170" s="141"/>
    </row>
    <row r="171" spans="2:12" x14ac:dyDescent="0.3">
      <c r="C171" s="8" t="s">
        <v>110</v>
      </c>
      <c r="D171" s="11" t="s">
        <v>131</v>
      </c>
      <c r="E171" s="352">
        <v>25.953407276813898</v>
      </c>
      <c r="F171" s="352">
        <v>25.699475230067101</v>
      </c>
      <c r="G171" s="352">
        <v>25.871533568396</v>
      </c>
      <c r="H171" s="352">
        <v>25.215918692869099</v>
      </c>
      <c r="I171" s="352">
        <v>24.8854029216938</v>
      </c>
      <c r="K171" s="141"/>
    </row>
    <row r="172" spans="2:12" x14ac:dyDescent="0.3">
      <c r="E172" s="353"/>
      <c r="F172" s="353"/>
      <c r="G172" s="353"/>
      <c r="H172" s="353"/>
      <c r="I172" s="353"/>
    </row>
    <row r="173" spans="2:12" ht="13.5" x14ac:dyDescent="0.35">
      <c r="B173" s="38" t="s">
        <v>189</v>
      </c>
      <c r="C173" s="38"/>
      <c r="D173" s="39"/>
      <c r="E173" s="31"/>
      <c r="F173" s="31"/>
      <c r="G173" s="31"/>
      <c r="H173" s="31"/>
      <c r="I173" s="31"/>
      <c r="J173" s="38"/>
      <c r="K173" s="143" t="s">
        <v>188</v>
      </c>
      <c r="L173" s="38"/>
    </row>
    <row r="174" spans="2:12" x14ac:dyDescent="0.3">
      <c r="E174" s="353"/>
      <c r="F174" s="353"/>
      <c r="G174" s="353"/>
      <c r="H174" s="353"/>
      <c r="I174" s="353"/>
    </row>
    <row r="175" spans="2:12" x14ac:dyDescent="0.3">
      <c r="C175" s="8" t="s">
        <v>80</v>
      </c>
      <c r="D175" s="11" t="s">
        <v>131</v>
      </c>
      <c r="E175" s="352">
        <v>25.757205260099798</v>
      </c>
      <c r="F175" s="352">
        <v>26.408193195325499</v>
      </c>
      <c r="G175" s="352">
        <v>26.844987978725101</v>
      </c>
      <c r="H175" s="352">
        <v>27.077856545195299</v>
      </c>
      <c r="I175" s="352">
        <v>27.297321513274401</v>
      </c>
      <c r="K175" s="141"/>
    </row>
    <row r="176" spans="2:12" x14ac:dyDescent="0.3">
      <c r="C176" s="8" t="s">
        <v>82</v>
      </c>
      <c r="D176" s="11" t="s">
        <v>131</v>
      </c>
      <c r="E176" s="352">
        <v>38.522676438057402</v>
      </c>
      <c r="F176" s="352">
        <v>36.4728579791378</v>
      </c>
      <c r="G176" s="352">
        <v>34.467567838937804</v>
      </c>
      <c r="H176" s="352">
        <v>32.401301094388202</v>
      </c>
      <c r="I176" s="352">
        <v>32.221671405301599</v>
      </c>
      <c r="K176" s="141"/>
    </row>
    <row r="177" spans="2:12" x14ac:dyDescent="0.3">
      <c r="C177" s="8" t="s">
        <v>85</v>
      </c>
      <c r="D177" s="11" t="s">
        <v>131</v>
      </c>
      <c r="E177" s="357"/>
      <c r="F177" s="357"/>
      <c r="G177" s="357"/>
      <c r="H177" s="352">
        <v>24.114998753334302</v>
      </c>
      <c r="I177" s="352">
        <v>24.292087967535</v>
      </c>
      <c r="K177" s="141" t="s">
        <v>410</v>
      </c>
    </row>
    <row r="178" spans="2:12" x14ac:dyDescent="0.3">
      <c r="C178" s="8" t="s">
        <v>87</v>
      </c>
      <c r="D178" s="11" t="s">
        <v>131</v>
      </c>
      <c r="E178" s="352">
        <v>27.561658079736599</v>
      </c>
      <c r="F178" s="352">
        <v>27.824954532424499</v>
      </c>
      <c r="G178" s="352">
        <v>27.9762451303551</v>
      </c>
      <c r="H178" s="352">
        <v>28.129820791195201</v>
      </c>
      <c r="I178" s="352">
        <v>28.267346936180001</v>
      </c>
      <c r="K178" s="141"/>
    </row>
    <row r="179" spans="2:12" x14ac:dyDescent="0.3">
      <c r="C179" s="8" t="s">
        <v>89</v>
      </c>
      <c r="D179" s="11" t="s">
        <v>131</v>
      </c>
      <c r="E179" s="352">
        <v>22.3707704927509</v>
      </c>
      <c r="F179" s="352">
        <v>23.105439716118202</v>
      </c>
      <c r="G179" s="352">
        <v>23.800684278766902</v>
      </c>
      <c r="H179" s="352">
        <v>24.114998753334302</v>
      </c>
      <c r="I179" s="352">
        <v>24.292087967535</v>
      </c>
      <c r="K179" s="141" t="s">
        <v>411</v>
      </c>
    </row>
    <row r="180" spans="2:12" x14ac:dyDescent="0.3">
      <c r="C180" s="8" t="s">
        <v>91</v>
      </c>
      <c r="D180" s="11" t="s">
        <v>131</v>
      </c>
      <c r="E180" s="352">
        <v>32.291160558899897</v>
      </c>
      <c r="F180" s="352">
        <v>32.497464198656303</v>
      </c>
      <c r="G180" s="352">
        <v>32.639097502346097</v>
      </c>
      <c r="H180" s="352">
        <v>32.483761854673702</v>
      </c>
      <c r="I180" s="352">
        <v>32.765310325746697</v>
      </c>
      <c r="K180" s="141" t="s">
        <v>412</v>
      </c>
    </row>
    <row r="181" spans="2:12" x14ac:dyDescent="0.3">
      <c r="C181" s="8" t="s">
        <v>94</v>
      </c>
      <c r="D181" s="11" t="s">
        <v>131</v>
      </c>
      <c r="E181" s="352">
        <v>32.006157411269299</v>
      </c>
      <c r="F181" s="352">
        <v>31.081394519581899</v>
      </c>
      <c r="G181" s="352">
        <v>28.885095376420399</v>
      </c>
      <c r="H181" s="352">
        <v>26.626831668673699</v>
      </c>
      <c r="I181" s="352">
        <v>27.172819987935998</v>
      </c>
      <c r="K181" s="141"/>
    </row>
    <row r="182" spans="2:12" x14ac:dyDescent="0.3">
      <c r="C182" s="8" t="s">
        <v>96</v>
      </c>
      <c r="D182" s="11" t="s">
        <v>131</v>
      </c>
      <c r="E182" s="352">
        <v>28.444409533027599</v>
      </c>
      <c r="F182" s="352">
        <v>28.303610558238905</v>
      </c>
      <c r="G182" s="352">
        <v>28.333083652369396</v>
      </c>
      <c r="H182" s="352">
        <v>28.020546327748708</v>
      </c>
      <c r="I182" s="352">
        <v>27.98</v>
      </c>
      <c r="K182" s="141"/>
    </row>
    <row r="183" spans="2:12" x14ac:dyDescent="0.3">
      <c r="C183" s="8" t="s">
        <v>98</v>
      </c>
      <c r="D183" s="11" t="s">
        <v>131</v>
      </c>
      <c r="E183" s="352">
        <v>37.156829401061501</v>
      </c>
      <c r="F183" s="352">
        <v>35.648704706563102</v>
      </c>
      <c r="G183" s="352">
        <v>33.900032128359001</v>
      </c>
      <c r="H183" s="352">
        <v>32.501163467970002</v>
      </c>
      <c r="I183" s="352">
        <v>33.165709557119897</v>
      </c>
      <c r="K183" s="141"/>
    </row>
    <row r="184" spans="2:12" x14ac:dyDescent="0.3">
      <c r="C184" s="8" t="s">
        <v>100</v>
      </c>
      <c r="D184" s="11" t="s">
        <v>131</v>
      </c>
      <c r="E184" s="352">
        <v>27.3858871837454</v>
      </c>
      <c r="F184" s="352">
        <v>27.676045299106899</v>
      </c>
      <c r="G184" s="352">
        <v>28.118032439352799</v>
      </c>
      <c r="H184" s="352">
        <v>28.470763439571801</v>
      </c>
      <c r="I184" s="352">
        <v>29.036842112125399</v>
      </c>
      <c r="K184" s="141"/>
    </row>
    <row r="185" spans="2:12" x14ac:dyDescent="0.3">
      <c r="C185" s="8" t="s">
        <v>102</v>
      </c>
      <c r="D185" s="11" t="s">
        <v>131</v>
      </c>
      <c r="E185" s="352">
        <v>25.363464528735701</v>
      </c>
      <c r="F185" s="352">
        <v>25.4304687552514</v>
      </c>
      <c r="G185" s="352">
        <v>25.297059155030801</v>
      </c>
      <c r="H185" s="352">
        <v>25.162173157630502</v>
      </c>
      <c r="I185" s="352">
        <v>25.5227663838156</v>
      </c>
      <c r="K185" s="141"/>
    </row>
    <row r="186" spans="2:12" x14ac:dyDescent="0.3">
      <c r="E186" s="353"/>
      <c r="F186" s="353"/>
      <c r="G186" s="353"/>
      <c r="H186" s="353"/>
      <c r="I186" s="353"/>
    </row>
    <row r="187" spans="2:12" ht="13.5" x14ac:dyDescent="0.35">
      <c r="B187" s="38" t="s">
        <v>191</v>
      </c>
      <c r="C187" s="38"/>
      <c r="D187" s="39"/>
      <c r="E187" s="31"/>
      <c r="F187" s="31"/>
      <c r="G187" s="31"/>
      <c r="H187" s="31"/>
      <c r="I187" s="31"/>
      <c r="J187" s="38"/>
      <c r="K187" s="143" t="s">
        <v>190</v>
      </c>
      <c r="L187" s="38"/>
    </row>
    <row r="188" spans="2:12" x14ac:dyDescent="0.3">
      <c r="E188" s="353"/>
      <c r="F188" s="353"/>
      <c r="G188" s="353"/>
      <c r="H188" s="353"/>
      <c r="I188" s="353"/>
    </row>
    <row r="189" spans="2:12" x14ac:dyDescent="0.3">
      <c r="C189" s="8" t="s">
        <v>80</v>
      </c>
      <c r="D189" s="11" t="s">
        <v>131</v>
      </c>
      <c r="E189" s="352">
        <v>32.816089189110201</v>
      </c>
      <c r="F189" s="352">
        <v>33.662107115622398</v>
      </c>
      <c r="G189" s="352">
        <v>34.228875789207699</v>
      </c>
      <c r="H189" s="352">
        <v>34.5301518524561</v>
      </c>
      <c r="I189" s="352">
        <v>34.8140419411694</v>
      </c>
      <c r="K189" s="141"/>
    </row>
    <row r="190" spans="2:12" x14ac:dyDescent="0.3">
      <c r="C190" s="8" t="s">
        <v>82</v>
      </c>
      <c r="D190" s="11" t="s">
        <v>131</v>
      </c>
      <c r="E190" s="352">
        <v>48.127343398255</v>
      </c>
      <c r="F190" s="352">
        <v>46.541260816602097</v>
      </c>
      <c r="G190" s="352">
        <v>44.9926183137378</v>
      </c>
      <c r="H190" s="352">
        <v>43.313101471003698</v>
      </c>
      <c r="I190" s="352">
        <v>42.967031028268799</v>
      </c>
      <c r="K190" s="141"/>
    </row>
    <row r="191" spans="2:12" x14ac:dyDescent="0.3">
      <c r="C191" s="8" t="s">
        <v>85</v>
      </c>
      <c r="D191" s="11" t="s">
        <v>131</v>
      </c>
      <c r="E191" s="357"/>
      <c r="F191" s="357"/>
      <c r="G191" s="357"/>
      <c r="H191" s="352">
        <v>37.486187895043003</v>
      </c>
      <c r="I191" s="352">
        <v>37.738198204341302</v>
      </c>
      <c r="K191" s="141" t="s">
        <v>410</v>
      </c>
    </row>
    <row r="192" spans="2:12" x14ac:dyDescent="0.3">
      <c r="C192" s="8" t="s">
        <v>87</v>
      </c>
      <c r="D192" s="11" t="s">
        <v>131</v>
      </c>
      <c r="E192" s="352">
        <v>37.877599835727501</v>
      </c>
      <c r="F192" s="352">
        <v>38.240619090793402</v>
      </c>
      <c r="G192" s="352">
        <v>38.4627070441502</v>
      </c>
      <c r="H192" s="352">
        <v>38.6475588609336</v>
      </c>
      <c r="I192" s="352">
        <v>38.815129113904398</v>
      </c>
      <c r="K192" s="141"/>
    </row>
    <row r="193" spans="2:12" x14ac:dyDescent="0.3">
      <c r="C193" s="8" t="s">
        <v>89</v>
      </c>
      <c r="D193" s="11" t="s">
        <v>131</v>
      </c>
      <c r="E193" s="352">
        <v>36.1052826408824</v>
      </c>
      <c r="F193" s="352">
        <v>36.883294652380201</v>
      </c>
      <c r="G193" s="352">
        <v>37.4557598093905</v>
      </c>
      <c r="H193" s="352">
        <v>37.486187895043003</v>
      </c>
      <c r="I193" s="352">
        <v>37.738198204341302</v>
      </c>
      <c r="K193" s="141" t="s">
        <v>411</v>
      </c>
    </row>
    <row r="194" spans="2:12" x14ac:dyDescent="0.3">
      <c r="C194" s="8" t="s">
        <v>91</v>
      </c>
      <c r="D194" s="11" t="s">
        <v>131</v>
      </c>
      <c r="E194" s="352">
        <v>45.296825018673204</v>
      </c>
      <c r="F194" s="352">
        <v>45.575432742745903</v>
      </c>
      <c r="G194" s="352">
        <v>45.770662299368198</v>
      </c>
      <c r="H194" s="352">
        <v>45.585761808832103</v>
      </c>
      <c r="I194" s="352">
        <v>45.895942339553301</v>
      </c>
      <c r="K194" s="141" t="s">
        <v>412</v>
      </c>
    </row>
    <row r="195" spans="2:12" x14ac:dyDescent="0.3">
      <c r="C195" s="8" t="s">
        <v>94</v>
      </c>
      <c r="D195" s="11" t="s">
        <v>131</v>
      </c>
      <c r="E195" s="352">
        <v>39.289742711430499</v>
      </c>
      <c r="F195" s="352">
        <v>38.501483234720403</v>
      </c>
      <c r="G195" s="352">
        <v>35.710544006521403</v>
      </c>
      <c r="H195" s="352">
        <v>33.197139327007399</v>
      </c>
      <c r="I195" s="352">
        <v>33.639602926775403</v>
      </c>
      <c r="K195" s="141"/>
    </row>
    <row r="196" spans="2:12" x14ac:dyDescent="0.3">
      <c r="C196" s="8" t="s">
        <v>96</v>
      </c>
      <c r="D196" s="11" t="s">
        <v>131</v>
      </c>
      <c r="E196" s="352">
        <v>40.951220895448003</v>
      </c>
      <c r="F196" s="352">
        <v>39.850002239238378</v>
      </c>
      <c r="G196" s="352">
        <v>39.133789207155033</v>
      </c>
      <c r="H196" s="352">
        <v>38.253817811931242</v>
      </c>
      <c r="I196" s="352">
        <v>38.79</v>
      </c>
      <c r="K196" s="141"/>
    </row>
    <row r="197" spans="2:12" x14ac:dyDescent="0.3">
      <c r="C197" s="8" t="s">
        <v>98</v>
      </c>
      <c r="D197" s="11" t="s">
        <v>131</v>
      </c>
      <c r="E197" s="352">
        <v>49.585505691986299</v>
      </c>
      <c r="F197" s="352">
        <v>47.709252370118001</v>
      </c>
      <c r="G197" s="352">
        <v>44.886247999127299</v>
      </c>
      <c r="H197" s="352">
        <v>42.514096117131103</v>
      </c>
      <c r="I197" s="352">
        <v>42.7752891246556</v>
      </c>
      <c r="K197" s="141"/>
    </row>
    <row r="198" spans="2:12" x14ac:dyDescent="0.3">
      <c r="C198" s="8" t="s">
        <v>100</v>
      </c>
      <c r="D198" s="11" t="s">
        <v>131</v>
      </c>
      <c r="E198" s="352">
        <v>36.685220285499</v>
      </c>
      <c r="F198" s="352">
        <v>37.098602173594699</v>
      </c>
      <c r="G198" s="352">
        <v>37.709147761792998</v>
      </c>
      <c r="H198" s="352">
        <v>38.204176310759102</v>
      </c>
      <c r="I198" s="352">
        <v>38.940305920718302</v>
      </c>
      <c r="K198" s="141"/>
    </row>
    <row r="199" spans="2:12" x14ac:dyDescent="0.3">
      <c r="C199" s="8" t="s">
        <v>102</v>
      </c>
      <c r="D199" s="11" t="s">
        <v>131</v>
      </c>
      <c r="E199" s="352">
        <v>31.7589013477719</v>
      </c>
      <c r="F199" s="352">
        <v>32.2599450514683</v>
      </c>
      <c r="G199" s="352">
        <v>32.7842989582389</v>
      </c>
      <c r="H199" s="352">
        <v>33.3498623356124</v>
      </c>
      <c r="I199" s="352">
        <v>33.916147975203998</v>
      </c>
      <c r="K199" s="141"/>
    </row>
    <row r="200" spans="2:12" x14ac:dyDescent="0.3">
      <c r="E200" s="353"/>
      <c r="F200" s="353"/>
      <c r="G200" s="353"/>
      <c r="H200" s="353"/>
      <c r="I200" s="353"/>
    </row>
    <row r="201" spans="2:12" s="30" customFormat="1" ht="13.5" x14ac:dyDescent="0.35">
      <c r="B201" s="9" t="s">
        <v>413</v>
      </c>
      <c r="C201" s="9"/>
      <c r="D201" s="10"/>
      <c r="E201" s="358"/>
      <c r="F201" s="358"/>
      <c r="G201" s="358"/>
      <c r="H201" s="358"/>
      <c r="I201" s="358"/>
      <c r="J201" s="9"/>
      <c r="K201" s="9"/>
      <c r="L201" s="9"/>
    </row>
    <row r="202" spans="2:12" x14ac:dyDescent="0.3">
      <c r="E202" s="353"/>
      <c r="F202" s="353"/>
      <c r="G202" s="353"/>
      <c r="H202" s="353"/>
      <c r="I202" s="353"/>
    </row>
    <row r="203" spans="2:12" ht="13.5" x14ac:dyDescent="0.35">
      <c r="B203" s="38" t="s">
        <v>414</v>
      </c>
      <c r="C203" s="38"/>
      <c r="D203" s="39"/>
      <c r="E203" s="31"/>
      <c r="F203" s="31"/>
      <c r="G203" s="31"/>
      <c r="H203" s="31"/>
      <c r="I203" s="31"/>
      <c r="J203" s="38"/>
      <c r="K203" s="143" t="s">
        <v>184</v>
      </c>
      <c r="L203" s="38"/>
    </row>
    <row r="204" spans="2:12" x14ac:dyDescent="0.3">
      <c r="E204" s="353"/>
      <c r="F204" s="353"/>
      <c r="G204" s="353"/>
      <c r="H204" s="353"/>
      <c r="I204" s="353"/>
    </row>
    <row r="205" spans="2:12" x14ac:dyDescent="0.3">
      <c r="C205" s="8" t="s">
        <v>80</v>
      </c>
      <c r="D205" s="11" t="s">
        <v>127</v>
      </c>
      <c r="E205" s="352">
        <v>80.590506765166097</v>
      </c>
      <c r="F205" s="352">
        <v>83.571080014153594</v>
      </c>
      <c r="G205" s="352">
        <v>85.913543740266803</v>
      </c>
      <c r="H205" s="352">
        <v>87.6518931803637</v>
      </c>
      <c r="I205" s="352">
        <v>89.411868833240902</v>
      </c>
      <c r="K205" s="141"/>
    </row>
    <row r="206" spans="2:12" x14ac:dyDescent="0.3">
      <c r="C206" s="8" t="s">
        <v>82</v>
      </c>
      <c r="D206" s="11" t="s">
        <v>127</v>
      </c>
      <c r="E206" s="352">
        <v>57.032834530370899</v>
      </c>
      <c r="F206" s="352">
        <v>55.627958693541203</v>
      </c>
      <c r="G206" s="352">
        <v>54.278348149194699</v>
      </c>
      <c r="H206" s="352">
        <v>52.781728263099303</v>
      </c>
      <c r="I206" s="352">
        <v>52.8328338746797</v>
      </c>
      <c r="K206" s="141"/>
    </row>
    <row r="207" spans="2:12" x14ac:dyDescent="0.3">
      <c r="C207" s="8" t="s">
        <v>85</v>
      </c>
      <c r="D207" s="11" t="s">
        <v>127</v>
      </c>
      <c r="E207" s="352">
        <v>2.9002731544277198</v>
      </c>
      <c r="F207" s="352">
        <v>2.9368816877620199</v>
      </c>
      <c r="G207" s="352">
        <v>2.9689074832232998</v>
      </c>
      <c r="H207" s="352">
        <v>2.7048728999999998</v>
      </c>
      <c r="I207" s="352">
        <v>2.6447048999999998</v>
      </c>
      <c r="K207" s="141" t="s">
        <v>415</v>
      </c>
    </row>
    <row r="208" spans="2:12" x14ac:dyDescent="0.3">
      <c r="C208" s="8" t="s">
        <v>87</v>
      </c>
      <c r="D208" s="11" t="s">
        <v>127</v>
      </c>
      <c r="E208" s="352">
        <v>57.053856166593597</v>
      </c>
      <c r="F208" s="352">
        <v>58.129981831841697</v>
      </c>
      <c r="G208" s="352">
        <v>58.973923341780399</v>
      </c>
      <c r="H208" s="352">
        <v>59.772409558232098</v>
      </c>
      <c r="I208" s="352">
        <v>60.5531599614241</v>
      </c>
      <c r="K208" s="141"/>
    </row>
    <row r="209" spans="2:12" x14ac:dyDescent="0.3">
      <c r="C209" s="8" t="s">
        <v>89</v>
      </c>
      <c r="D209" s="11" t="s">
        <v>127</v>
      </c>
      <c r="E209" s="352">
        <v>113.501326479657</v>
      </c>
      <c r="F209" s="352">
        <v>117.639576110787</v>
      </c>
      <c r="G209" s="352">
        <v>121.444572418158</v>
      </c>
      <c r="H209" s="352">
        <v>123.70626978999999</v>
      </c>
      <c r="I209" s="352">
        <v>125.71810245000002</v>
      </c>
      <c r="K209" s="141" t="s">
        <v>416</v>
      </c>
    </row>
    <row r="210" spans="2:12" x14ac:dyDescent="0.3">
      <c r="C210" s="8" t="s">
        <v>91</v>
      </c>
      <c r="D210" s="11" t="s">
        <v>127</v>
      </c>
      <c r="E210" s="352">
        <v>36.467144952882762</v>
      </c>
      <c r="F210" s="352">
        <v>37.081555170536284</v>
      </c>
      <c r="G210" s="352">
        <v>37.626417437982937</v>
      </c>
      <c r="H210" s="352">
        <v>37.908216162534174</v>
      </c>
      <c r="I210" s="352">
        <v>38.475799268256722</v>
      </c>
      <c r="K210" s="141" t="s">
        <v>408</v>
      </c>
    </row>
    <row r="211" spans="2:12" x14ac:dyDescent="0.3">
      <c r="C211" s="8" t="s">
        <v>94</v>
      </c>
      <c r="D211" s="11" t="s">
        <v>127</v>
      </c>
      <c r="E211" s="352">
        <v>64.964764238362093</v>
      </c>
      <c r="F211" s="352">
        <v>64.175433348902104</v>
      </c>
      <c r="G211" s="352">
        <v>60.232545696496103</v>
      </c>
      <c r="H211" s="352">
        <v>56.386780583279702</v>
      </c>
      <c r="I211" s="352">
        <v>57.942277842994201</v>
      </c>
      <c r="K211" s="141"/>
    </row>
    <row r="212" spans="2:12" x14ac:dyDescent="0.3">
      <c r="C212" s="8" t="s">
        <v>96</v>
      </c>
      <c r="D212" s="11" t="s">
        <v>127</v>
      </c>
      <c r="E212" s="352">
        <v>165.58832103232626</v>
      </c>
      <c r="F212" s="352">
        <v>167.90831536112131</v>
      </c>
      <c r="G212" s="352">
        <v>172.10457473339392</v>
      </c>
      <c r="H212" s="352">
        <v>174.85571801624675</v>
      </c>
      <c r="I212" s="352">
        <v>180.21600000000001</v>
      </c>
      <c r="K212" s="141"/>
    </row>
    <row r="213" spans="2:12" x14ac:dyDescent="0.3">
      <c r="C213" s="8" t="s">
        <v>98</v>
      </c>
      <c r="D213" s="11" t="s">
        <v>127</v>
      </c>
      <c r="E213" s="352">
        <v>132.076000135101</v>
      </c>
      <c r="F213" s="352">
        <v>127.559819817641</v>
      </c>
      <c r="G213" s="352">
        <v>121.38716554365099</v>
      </c>
      <c r="H213" s="352">
        <v>116.41515314049499</v>
      </c>
      <c r="I213" s="352">
        <v>118.850334835768</v>
      </c>
      <c r="K213" s="141"/>
    </row>
    <row r="214" spans="2:12" x14ac:dyDescent="0.3">
      <c r="C214" s="8" t="s">
        <v>100</v>
      </c>
      <c r="D214" s="11" t="s">
        <v>127</v>
      </c>
      <c r="E214" s="352">
        <v>33.203419912514804</v>
      </c>
      <c r="F214" s="352">
        <v>34.378368463737999</v>
      </c>
      <c r="G214" s="352">
        <v>35.723987857825499</v>
      </c>
      <c r="H214" s="352">
        <v>36.911716227250302</v>
      </c>
      <c r="I214" s="352">
        <v>38.256586779757299</v>
      </c>
      <c r="K214" s="141"/>
    </row>
    <row r="215" spans="2:12" x14ac:dyDescent="0.3">
      <c r="C215" s="8" t="s">
        <v>102</v>
      </c>
      <c r="D215" s="11" t="s">
        <v>127</v>
      </c>
      <c r="E215" s="352">
        <v>59.2923021935013</v>
      </c>
      <c r="F215" s="352">
        <v>61.063814265271098</v>
      </c>
      <c r="G215" s="352">
        <v>63.055244437511298</v>
      </c>
      <c r="H215" s="352">
        <v>65.189527501951403</v>
      </c>
      <c r="I215" s="352">
        <v>67.410711872875098</v>
      </c>
      <c r="K215" s="141"/>
    </row>
    <row r="216" spans="2:12" x14ac:dyDescent="0.3">
      <c r="C216" s="8" t="s">
        <v>104</v>
      </c>
      <c r="D216" s="11" t="s">
        <v>127</v>
      </c>
      <c r="E216" s="352">
        <v>28.888399082198699</v>
      </c>
      <c r="F216" s="352">
        <v>28.8735229097374</v>
      </c>
      <c r="G216" s="352">
        <v>28.759126487809599</v>
      </c>
      <c r="H216" s="352">
        <v>28.566331014844302</v>
      </c>
      <c r="I216" s="352">
        <v>28.9912653287168</v>
      </c>
      <c r="K216" s="141"/>
    </row>
    <row r="217" spans="2:12" x14ac:dyDescent="0.3">
      <c r="C217" s="8" t="s">
        <v>106</v>
      </c>
      <c r="D217" s="11" t="s">
        <v>127</v>
      </c>
      <c r="E217" s="352">
        <v>10.433943695172299</v>
      </c>
      <c r="F217" s="352">
        <v>10.8752803602345</v>
      </c>
      <c r="G217" s="352">
        <v>11.370795265812699</v>
      </c>
      <c r="H217" s="352">
        <v>11.856393009105799</v>
      </c>
      <c r="I217" s="352">
        <v>12.4843407679209</v>
      </c>
      <c r="K217" s="141"/>
    </row>
    <row r="218" spans="2:12" x14ac:dyDescent="0.3">
      <c r="C218" s="8" t="s">
        <v>108</v>
      </c>
      <c r="D218" s="11" t="s">
        <v>127</v>
      </c>
      <c r="E218" s="352">
        <v>4.51986824918691</v>
      </c>
      <c r="F218" s="352">
        <v>4.6058714008946398</v>
      </c>
      <c r="G218" s="352">
        <v>4.6928402357482604</v>
      </c>
      <c r="H218" s="352">
        <v>4.7849854533084599</v>
      </c>
      <c r="I218" s="352">
        <v>4.8749184489523802</v>
      </c>
      <c r="K218" s="141"/>
    </row>
    <row r="219" spans="2:12" x14ac:dyDescent="0.3">
      <c r="C219" s="8" t="s">
        <v>112</v>
      </c>
      <c r="D219" s="11" t="s">
        <v>127</v>
      </c>
      <c r="E219" s="352">
        <v>20.354856305761501</v>
      </c>
      <c r="F219" s="352">
        <v>20.950824587341099</v>
      </c>
      <c r="G219" s="352">
        <v>21.535087624230702</v>
      </c>
      <c r="H219" s="352">
        <v>21.9924300882812</v>
      </c>
      <c r="I219" s="352">
        <v>22.679690316720102</v>
      </c>
      <c r="K219" s="141"/>
    </row>
    <row r="220" spans="2:12" x14ac:dyDescent="0.3">
      <c r="C220" s="8" t="s">
        <v>114</v>
      </c>
      <c r="D220" s="11" t="s">
        <v>127</v>
      </c>
      <c r="E220" s="352">
        <v>14.825027505842099</v>
      </c>
      <c r="F220" s="352">
        <v>15.112472369264401</v>
      </c>
      <c r="G220" s="352">
        <v>15.6541394202848</v>
      </c>
      <c r="H220" s="352">
        <v>16.512558266725101</v>
      </c>
      <c r="I220" s="352">
        <v>16.867490281543901</v>
      </c>
      <c r="K220" s="141"/>
    </row>
    <row r="221" spans="2:12" x14ac:dyDescent="0.3">
      <c r="C221" s="8" t="s">
        <v>110</v>
      </c>
      <c r="D221" s="11" t="s">
        <v>127</v>
      </c>
      <c r="E221" s="352">
        <v>5.8578250532028804</v>
      </c>
      <c r="F221" s="352">
        <v>5.9320589864480002</v>
      </c>
      <c r="G221" s="352">
        <v>6.1561413744815301</v>
      </c>
      <c r="H221" s="352">
        <v>6.1499768552667398</v>
      </c>
      <c r="I221" s="352">
        <v>6.15821922711591</v>
      </c>
      <c r="K221" s="141"/>
    </row>
    <row r="222" spans="2:12" x14ac:dyDescent="0.3">
      <c r="E222" s="353"/>
      <c r="F222" s="353"/>
      <c r="G222" s="353"/>
      <c r="H222" s="353"/>
      <c r="I222" s="353"/>
    </row>
    <row r="223" spans="2:12" ht="13.5" x14ac:dyDescent="0.35">
      <c r="B223" s="38" t="s">
        <v>417</v>
      </c>
      <c r="C223" s="38"/>
      <c r="D223" s="39"/>
      <c r="E223" s="31"/>
      <c r="F223" s="31"/>
      <c r="G223" s="31"/>
      <c r="H223" s="31"/>
      <c r="I223" s="31"/>
      <c r="J223" s="38"/>
      <c r="K223" s="143" t="s">
        <v>185</v>
      </c>
      <c r="L223" s="38"/>
    </row>
    <row r="224" spans="2:12" x14ac:dyDescent="0.3">
      <c r="E224" s="353"/>
      <c r="F224" s="353"/>
      <c r="G224" s="353"/>
      <c r="H224" s="353"/>
      <c r="I224" s="353"/>
    </row>
    <row r="225" spans="3:11" x14ac:dyDescent="0.3">
      <c r="C225" s="8" t="s">
        <v>80</v>
      </c>
      <c r="D225" s="11" t="s">
        <v>127</v>
      </c>
      <c r="E225" s="352">
        <v>71.391853483312701</v>
      </c>
      <c r="F225" s="352">
        <v>74.002723132686398</v>
      </c>
      <c r="G225" s="352">
        <v>75.956042343598497</v>
      </c>
      <c r="H225" s="352">
        <v>77.325116516186398</v>
      </c>
      <c r="I225" s="352">
        <v>78.711841457383301</v>
      </c>
      <c r="K225" s="141"/>
    </row>
    <row r="226" spans="3:11" x14ac:dyDescent="0.3">
      <c r="C226" s="8" t="s">
        <v>82</v>
      </c>
      <c r="D226" s="11" t="s">
        <v>127</v>
      </c>
      <c r="E226" s="352">
        <v>51.405948504049199</v>
      </c>
      <c r="F226" s="352">
        <v>49.849142356779097</v>
      </c>
      <c r="G226" s="352">
        <v>48.344143823438102</v>
      </c>
      <c r="H226" s="352">
        <v>46.697231726458</v>
      </c>
      <c r="I226" s="352">
        <v>46.581892200401903</v>
      </c>
      <c r="K226" s="141"/>
    </row>
    <row r="227" spans="3:11" x14ac:dyDescent="0.3">
      <c r="C227" s="8" t="s">
        <v>85</v>
      </c>
      <c r="D227" s="11" t="s">
        <v>127</v>
      </c>
      <c r="E227" s="352">
        <v>2.7216690878172898</v>
      </c>
      <c r="F227" s="352">
        <v>2.7515056737646399</v>
      </c>
      <c r="G227" s="352">
        <v>2.7766315048484298</v>
      </c>
      <c r="H227" s="352">
        <v>2.5032626510757052</v>
      </c>
      <c r="I227" s="352">
        <v>2.4349226083852078</v>
      </c>
      <c r="K227" s="141" t="s">
        <v>415</v>
      </c>
    </row>
    <row r="228" spans="3:11" x14ac:dyDescent="0.3">
      <c r="C228" s="8" t="s">
        <v>87</v>
      </c>
      <c r="D228" s="11" t="s">
        <v>127</v>
      </c>
      <c r="E228" s="352">
        <v>51.268462127537802</v>
      </c>
      <c r="F228" s="352">
        <v>52.135689862442902</v>
      </c>
      <c r="G228" s="352">
        <v>52.757064843032602</v>
      </c>
      <c r="H228" s="352">
        <v>53.3406011955312</v>
      </c>
      <c r="I228" s="352">
        <v>53.908961165205497</v>
      </c>
      <c r="K228" s="141"/>
    </row>
    <row r="229" spans="3:11" x14ac:dyDescent="0.3">
      <c r="C229" s="8" t="s">
        <v>89</v>
      </c>
      <c r="D229" s="11" t="s">
        <v>127</v>
      </c>
      <c r="E229" s="352">
        <v>102.435150442713</v>
      </c>
      <c r="F229" s="352">
        <v>106.186829249832</v>
      </c>
      <c r="G229" s="352">
        <v>109.55984227794499</v>
      </c>
      <c r="H229" s="352">
        <v>111.43083086253959</v>
      </c>
      <c r="I229" s="352">
        <v>113.05347200709228</v>
      </c>
      <c r="K229" s="141" t="s">
        <v>416</v>
      </c>
    </row>
    <row r="230" spans="3:11" x14ac:dyDescent="0.3">
      <c r="C230" s="8" t="s">
        <v>91</v>
      </c>
      <c r="D230" s="11" t="s">
        <v>127</v>
      </c>
      <c r="E230" s="352">
        <v>32.524521166744059</v>
      </c>
      <c r="F230" s="352">
        <v>33.013753981060987</v>
      </c>
      <c r="G230" s="352">
        <v>33.427788565230458</v>
      </c>
      <c r="H230" s="352">
        <v>33.573298601550775</v>
      </c>
      <c r="I230" s="352">
        <v>33.999964876199563</v>
      </c>
      <c r="K230" s="141" t="s">
        <v>408</v>
      </c>
    </row>
    <row r="231" spans="3:11" x14ac:dyDescent="0.3">
      <c r="C231" s="8" t="s">
        <v>94</v>
      </c>
      <c r="D231" s="11" t="s">
        <v>127</v>
      </c>
      <c r="E231" s="352">
        <v>58.506976711910802</v>
      </c>
      <c r="F231" s="352">
        <v>57.4836867533215</v>
      </c>
      <c r="G231" s="352">
        <v>53.310918510807703</v>
      </c>
      <c r="H231" s="352">
        <v>49.240950120087199</v>
      </c>
      <c r="I231" s="352">
        <v>50.518120938587202</v>
      </c>
      <c r="K231" s="141"/>
    </row>
    <row r="232" spans="3:11" x14ac:dyDescent="0.3">
      <c r="C232" s="8" t="s">
        <v>96</v>
      </c>
      <c r="D232" s="11" t="s">
        <v>127</v>
      </c>
      <c r="E232" s="352">
        <v>149.27391074188299</v>
      </c>
      <c r="F232" s="352">
        <v>150.54493283612399</v>
      </c>
      <c r="G232" s="352">
        <v>153.93541196603499</v>
      </c>
      <c r="H232" s="352">
        <v>155.63692334206999</v>
      </c>
      <c r="I232" s="352">
        <v>160.041412984224</v>
      </c>
      <c r="K232" s="141"/>
    </row>
    <row r="233" spans="3:11" x14ac:dyDescent="0.3">
      <c r="C233" s="8" t="s">
        <v>98</v>
      </c>
      <c r="D233" s="11" t="s">
        <v>127</v>
      </c>
      <c r="E233" s="352">
        <v>120.292214043694</v>
      </c>
      <c r="F233" s="352">
        <v>115.37487067644</v>
      </c>
      <c r="G233" s="352">
        <v>108.78954667009999</v>
      </c>
      <c r="H233" s="352">
        <v>103.392472210788</v>
      </c>
      <c r="I233" s="352">
        <v>105.369421632607</v>
      </c>
      <c r="K233" s="141"/>
    </row>
    <row r="234" spans="3:11" x14ac:dyDescent="0.3">
      <c r="C234" s="8" t="s">
        <v>100</v>
      </c>
      <c r="D234" s="11" t="s">
        <v>127</v>
      </c>
      <c r="E234" s="352">
        <v>29.401890538933301</v>
      </c>
      <c r="F234" s="352">
        <v>30.426535909715501</v>
      </c>
      <c r="G234" s="352">
        <v>31.607955313440801</v>
      </c>
      <c r="H234" s="352">
        <v>32.635464309549</v>
      </c>
      <c r="I234" s="352">
        <v>33.818081814128597</v>
      </c>
      <c r="K234" s="141"/>
    </row>
    <row r="235" spans="3:11" x14ac:dyDescent="0.3">
      <c r="C235" s="8" t="s">
        <v>102</v>
      </c>
      <c r="D235" s="11" t="s">
        <v>127</v>
      </c>
      <c r="E235" s="352">
        <v>51.773516277613901</v>
      </c>
      <c r="F235" s="352">
        <v>53.243877186477597</v>
      </c>
      <c r="G235" s="352">
        <v>54.916822106802698</v>
      </c>
      <c r="H235" s="352">
        <v>56.716900341790598</v>
      </c>
      <c r="I235" s="352">
        <v>58.595779342575703</v>
      </c>
      <c r="K235" s="141"/>
    </row>
    <row r="236" spans="3:11" x14ac:dyDescent="0.3">
      <c r="C236" s="8" t="s">
        <v>104</v>
      </c>
      <c r="D236" s="11" t="s">
        <v>127</v>
      </c>
      <c r="E236" s="352">
        <v>26.475074447779701</v>
      </c>
      <c r="F236" s="352">
        <v>26.392290805440901</v>
      </c>
      <c r="G236" s="352">
        <v>26.249996507232801</v>
      </c>
      <c r="H236" s="352">
        <v>26.007951525860399</v>
      </c>
      <c r="I236" s="352">
        <v>26.374537454855901</v>
      </c>
      <c r="K236" s="141"/>
    </row>
    <row r="237" spans="3:11" x14ac:dyDescent="0.3">
      <c r="C237" s="8" t="s">
        <v>106</v>
      </c>
      <c r="D237" s="11" t="s">
        <v>127</v>
      </c>
      <c r="E237" s="352">
        <v>9.5856814954396796</v>
      </c>
      <c r="F237" s="352">
        <v>10.054459891616</v>
      </c>
      <c r="G237" s="352">
        <v>10.514556763213699</v>
      </c>
      <c r="H237" s="352">
        <v>10.9682856687919</v>
      </c>
      <c r="I237" s="352">
        <v>11.5632274436645</v>
      </c>
      <c r="K237" s="141"/>
    </row>
    <row r="238" spans="3:11" x14ac:dyDescent="0.3">
      <c r="C238" s="8" t="s">
        <v>108</v>
      </c>
      <c r="D238" s="11" t="s">
        <v>127</v>
      </c>
      <c r="E238" s="352">
        <v>4.2370931848370299</v>
      </c>
      <c r="F238" s="352">
        <v>4.3123336398624001</v>
      </c>
      <c r="G238" s="352">
        <v>4.3875740948877802</v>
      </c>
      <c r="H238" s="352">
        <v>4.4679299410783004</v>
      </c>
      <c r="I238" s="352">
        <v>4.5462280916862499</v>
      </c>
      <c r="K238" s="141"/>
    </row>
    <row r="239" spans="3:11" x14ac:dyDescent="0.3">
      <c r="C239" s="8" t="s">
        <v>112</v>
      </c>
      <c r="D239" s="11" t="s">
        <v>127</v>
      </c>
      <c r="E239" s="352">
        <v>18.692465149428099</v>
      </c>
      <c r="F239" s="352">
        <v>19.222941225828698</v>
      </c>
      <c r="G239" s="352">
        <v>19.7336166630534</v>
      </c>
      <c r="H239" s="352">
        <v>20.125285214164201</v>
      </c>
      <c r="I239" s="352">
        <v>20.745374474518499</v>
      </c>
      <c r="K239" s="141"/>
    </row>
    <row r="240" spans="3:11" x14ac:dyDescent="0.3">
      <c r="C240" s="8" t="s">
        <v>114</v>
      </c>
      <c r="D240" s="11" t="s">
        <v>127</v>
      </c>
      <c r="E240" s="352">
        <v>13.9064452286958</v>
      </c>
      <c r="F240" s="352">
        <v>14.1723194094302</v>
      </c>
      <c r="G240" s="352">
        <v>14.681235485238499</v>
      </c>
      <c r="H240" s="352">
        <v>15.511407516512801</v>
      </c>
      <c r="I240" s="352">
        <v>15.834536663396101</v>
      </c>
      <c r="K240" s="141"/>
    </row>
    <row r="241" spans="2:12" x14ac:dyDescent="0.3">
      <c r="C241" s="8" t="s">
        <v>110</v>
      </c>
      <c r="D241" s="11" t="s">
        <v>127</v>
      </c>
      <c r="E241" s="352">
        <v>5.3633825069840801</v>
      </c>
      <c r="F241" s="352">
        <v>5.4207342540642696</v>
      </c>
      <c r="G241" s="352">
        <v>5.62549552600181</v>
      </c>
      <c r="H241" s="352">
        <v>5.6000588225662602</v>
      </c>
      <c r="I241" s="352">
        <v>5.5872312932757904</v>
      </c>
      <c r="K241" s="141"/>
    </row>
    <row r="242" spans="2:12" x14ac:dyDescent="0.3">
      <c r="E242" s="353"/>
      <c r="F242" s="353"/>
      <c r="G242" s="353"/>
      <c r="H242" s="353"/>
      <c r="I242" s="353"/>
    </row>
    <row r="243" spans="2:12" ht="13.5" x14ac:dyDescent="0.35">
      <c r="B243" s="38" t="s">
        <v>418</v>
      </c>
      <c r="C243" s="38"/>
      <c r="D243" s="39"/>
      <c r="E243" s="31"/>
      <c r="F243" s="31"/>
      <c r="G243" s="31"/>
      <c r="H243" s="31"/>
      <c r="I243" s="31"/>
      <c r="J243" s="38"/>
      <c r="K243" s="143" t="s">
        <v>210</v>
      </c>
      <c r="L243" s="38"/>
    </row>
    <row r="244" spans="2:12" x14ac:dyDescent="0.3">
      <c r="E244" s="353"/>
      <c r="F244" s="353"/>
      <c r="G244" s="353"/>
      <c r="H244" s="353"/>
      <c r="I244" s="353"/>
    </row>
    <row r="245" spans="2:12" x14ac:dyDescent="0.3">
      <c r="C245" s="8" t="s">
        <v>80</v>
      </c>
      <c r="D245" s="11" t="s">
        <v>127</v>
      </c>
      <c r="E245" s="352">
        <v>0.44459397568258602</v>
      </c>
      <c r="F245" s="352">
        <v>0.21935021961416501</v>
      </c>
      <c r="G245" s="352">
        <v>0.14750721232071701</v>
      </c>
      <c r="H245" s="352">
        <v>0.119674792483659</v>
      </c>
      <c r="I245" s="352">
        <v>3.4421922010499997E-2</v>
      </c>
    </row>
    <row r="246" spans="2:12" x14ac:dyDescent="0.3">
      <c r="C246" s="8" t="s">
        <v>82</v>
      </c>
      <c r="D246" s="11" t="s">
        <v>127</v>
      </c>
      <c r="E246" s="352">
        <v>3.12</v>
      </c>
      <c r="F246" s="352">
        <v>3</v>
      </c>
      <c r="G246" s="352">
        <v>2.8149999999999999</v>
      </c>
      <c r="H246" s="352">
        <v>2.7370000000000001</v>
      </c>
      <c r="I246" s="352">
        <v>2.7320000000000002</v>
      </c>
    </row>
    <row r="247" spans="2:12" x14ac:dyDescent="0.3">
      <c r="C247" s="8" t="s">
        <v>85</v>
      </c>
      <c r="D247" s="11" t="s">
        <v>127</v>
      </c>
      <c r="E247" s="352">
        <v>3.9E-2</v>
      </c>
      <c r="F247" s="352">
        <v>3.9E-2</v>
      </c>
      <c r="G247" s="352">
        <v>3.9E-2</v>
      </c>
      <c r="H247" s="352">
        <v>3.9E-2</v>
      </c>
      <c r="I247" s="352">
        <v>3.9E-2</v>
      </c>
    </row>
    <row r="248" spans="2:12" x14ac:dyDescent="0.3">
      <c r="C248" s="8" t="s">
        <v>87</v>
      </c>
      <c r="D248" s="11" t="s">
        <v>127</v>
      </c>
      <c r="E248" s="352">
        <v>0.83259413699437501</v>
      </c>
      <c r="F248" s="352">
        <v>0.70673889187886596</v>
      </c>
      <c r="G248" s="352">
        <v>0.56974851329627796</v>
      </c>
      <c r="H248" s="352">
        <v>0.47135275535805798</v>
      </c>
      <c r="I248" s="352">
        <v>0.76103862999679295</v>
      </c>
    </row>
    <row r="249" spans="2:12" x14ac:dyDescent="0.3">
      <c r="C249" s="8" t="s">
        <v>89</v>
      </c>
      <c r="D249" s="11" t="s">
        <v>127</v>
      </c>
      <c r="E249" s="352">
        <v>3.5064506078156401</v>
      </c>
      <c r="F249" s="352">
        <v>2.5334308112799699</v>
      </c>
      <c r="G249" s="352">
        <v>2.2258735380328898</v>
      </c>
      <c r="H249" s="352">
        <v>1.5701797126478301</v>
      </c>
      <c r="I249" s="352">
        <v>1.2916343431078701</v>
      </c>
    </row>
    <row r="250" spans="2:12" x14ac:dyDescent="0.3">
      <c r="C250" s="8" t="s">
        <v>91</v>
      </c>
      <c r="D250" s="11" t="s">
        <v>127</v>
      </c>
      <c r="E250" s="352">
        <v>2.2519999999999998</v>
      </c>
      <c r="F250" s="352">
        <v>1.6479999999999999</v>
      </c>
      <c r="G250" s="352">
        <v>1.421</v>
      </c>
      <c r="H250" s="352">
        <v>1.1930000000000001</v>
      </c>
      <c r="I250" s="352">
        <v>0.71099999999999997</v>
      </c>
    </row>
    <row r="251" spans="2:12" x14ac:dyDescent="0.3">
      <c r="C251" s="8" t="s">
        <v>94</v>
      </c>
      <c r="D251" s="11" t="s">
        <v>127</v>
      </c>
      <c r="E251" s="352">
        <v>5.0919999999999996</v>
      </c>
      <c r="F251" s="352">
        <v>4.4660000000000002</v>
      </c>
      <c r="G251" s="352">
        <v>4.0030000000000001</v>
      </c>
      <c r="H251" s="352">
        <v>3.38</v>
      </c>
      <c r="I251" s="352">
        <v>3.12</v>
      </c>
    </row>
    <row r="252" spans="2:12" x14ac:dyDescent="0.3">
      <c r="C252" s="8" t="s">
        <v>96</v>
      </c>
      <c r="D252" s="11" t="s">
        <v>127</v>
      </c>
      <c r="E252" s="352">
        <v>7.4306522188191497</v>
      </c>
      <c r="F252" s="352">
        <v>6.9884093464106805</v>
      </c>
      <c r="G252" s="352">
        <v>4.2912138058975202</v>
      </c>
      <c r="H252" s="352">
        <v>2.6554011591646693</v>
      </c>
      <c r="I252" s="352">
        <v>0.68231757457305997</v>
      </c>
    </row>
    <row r="253" spans="2:12" x14ac:dyDescent="0.3">
      <c r="C253" s="8" t="s">
        <v>98</v>
      </c>
      <c r="D253" s="11" t="s">
        <v>127</v>
      </c>
      <c r="E253" s="352">
        <v>5.4535751847220801</v>
      </c>
      <c r="F253" s="352">
        <v>4.9591345727330296</v>
      </c>
      <c r="G253" s="352">
        <v>4.8295161198574403</v>
      </c>
      <c r="H253" s="352">
        <v>3.8134955923541001</v>
      </c>
      <c r="I253" s="352">
        <v>2.8151020317122701</v>
      </c>
    </row>
    <row r="254" spans="2:12" x14ac:dyDescent="0.3">
      <c r="C254" s="8" t="s">
        <v>100</v>
      </c>
      <c r="D254" s="11" t="s">
        <v>127</v>
      </c>
      <c r="E254" s="352">
        <v>0.70272878406883499</v>
      </c>
      <c r="F254" s="352">
        <v>0.70272878406883499</v>
      </c>
      <c r="G254" s="352">
        <v>0.70272878406883499</v>
      </c>
      <c r="H254" s="352">
        <v>0.70272878406883499</v>
      </c>
      <c r="I254" s="352">
        <v>0.70272878406883499</v>
      </c>
    </row>
    <row r="255" spans="2:12" x14ac:dyDescent="0.3">
      <c r="C255" s="8" t="s">
        <v>102</v>
      </c>
      <c r="D255" s="11" t="s">
        <v>127</v>
      </c>
      <c r="E255" s="352">
        <v>4.1520032163945499</v>
      </c>
      <c r="F255" s="352">
        <v>3.72652952749154</v>
      </c>
      <c r="G255" s="352">
        <v>3.05513945745431</v>
      </c>
      <c r="H255" s="352">
        <v>1.24072694310899</v>
      </c>
      <c r="I255" s="352">
        <v>1.19602822048627</v>
      </c>
    </row>
    <row r="256" spans="2:12" x14ac:dyDescent="0.3">
      <c r="C256" s="8" t="s">
        <v>104</v>
      </c>
      <c r="D256" s="11" t="s">
        <v>127</v>
      </c>
      <c r="E256" s="352">
        <v>1.7305229332185399</v>
      </c>
      <c r="F256" s="352">
        <v>1.6754468631596799</v>
      </c>
      <c r="G256" s="352">
        <v>1.6301293109941299</v>
      </c>
      <c r="H256" s="352">
        <v>1.1896396162524701</v>
      </c>
      <c r="I256" s="352">
        <v>0.16888299719754199</v>
      </c>
    </row>
    <row r="257" spans="2:12" x14ac:dyDescent="0.3">
      <c r="C257" s="8" t="s">
        <v>106</v>
      </c>
      <c r="D257" s="11" t="s">
        <v>127</v>
      </c>
      <c r="E257" s="352">
        <v>0.23200000000000001</v>
      </c>
      <c r="F257" s="352">
        <v>0.20799999999999999</v>
      </c>
      <c r="G257" s="352">
        <v>0.14299999999999999</v>
      </c>
      <c r="H257" s="352">
        <v>9.2999999999999999E-2</v>
      </c>
      <c r="I257" s="352">
        <v>4.2000000000000003E-2</v>
      </c>
    </row>
    <row r="258" spans="2:12" x14ac:dyDescent="0.3">
      <c r="C258" s="8" t="s">
        <v>108</v>
      </c>
      <c r="D258" s="11" t="s">
        <v>127</v>
      </c>
      <c r="E258" s="352">
        <v>0.12</v>
      </c>
      <c r="F258" s="352">
        <v>0.122</v>
      </c>
      <c r="G258" s="352">
        <v>8.5000000000000006E-2</v>
      </c>
      <c r="H258" s="352">
        <v>8.1000000000000003E-2</v>
      </c>
      <c r="I258" s="352">
        <v>7.8E-2</v>
      </c>
    </row>
    <row r="259" spans="2:12" x14ac:dyDescent="0.3">
      <c r="C259" s="8" t="s">
        <v>112</v>
      </c>
      <c r="D259" s="11" t="s">
        <v>127</v>
      </c>
      <c r="E259" s="352">
        <v>0.73937991240643497</v>
      </c>
      <c r="F259" s="352">
        <v>0.65046130977862804</v>
      </c>
      <c r="G259" s="352">
        <v>0.36258211468201001</v>
      </c>
      <c r="H259" s="352">
        <v>0.19849828339774001</v>
      </c>
      <c r="I259" s="352">
        <v>0.12563411594983601</v>
      </c>
    </row>
    <row r="260" spans="2:12" x14ac:dyDescent="0.3">
      <c r="C260" s="8" t="s">
        <v>114</v>
      </c>
      <c r="D260" s="11" t="s">
        <v>127</v>
      </c>
      <c r="E260" s="352">
        <v>0.99151567980501798</v>
      </c>
      <c r="F260" s="352">
        <v>0.87628679220211403</v>
      </c>
      <c r="G260" s="352">
        <v>0.74572410017937996</v>
      </c>
      <c r="H260" s="352">
        <v>0.43999773671474002</v>
      </c>
      <c r="I260" s="352">
        <v>0.14087629484525199</v>
      </c>
    </row>
    <row r="261" spans="2:12" x14ac:dyDescent="0.3">
      <c r="C261" s="8" t="s">
        <v>110</v>
      </c>
      <c r="D261" s="11" t="s">
        <v>127</v>
      </c>
      <c r="E261" s="352">
        <v>4.7980538222237003E-2</v>
      </c>
      <c r="F261" s="352">
        <v>4.0093169810377902E-2</v>
      </c>
      <c r="G261" s="352">
        <v>3.57679354862694E-2</v>
      </c>
      <c r="H261" s="352">
        <v>1.6775938239191698E-2</v>
      </c>
      <c r="I261" s="352">
        <v>3.0604527083342298E-4</v>
      </c>
    </row>
    <row r="262" spans="2:12" x14ac:dyDescent="0.3">
      <c r="E262" s="353"/>
      <c r="F262" s="353"/>
      <c r="G262" s="353"/>
      <c r="H262" s="353"/>
      <c r="I262" s="353"/>
    </row>
    <row r="263" spans="2:12" ht="13.5" x14ac:dyDescent="0.35">
      <c r="B263" s="38" t="s">
        <v>180</v>
      </c>
      <c r="C263" s="38"/>
      <c r="D263" s="39"/>
      <c r="E263" s="31"/>
      <c r="F263" s="31"/>
      <c r="G263" s="31"/>
      <c r="H263" s="31"/>
      <c r="I263" s="31"/>
      <c r="J263" s="38"/>
      <c r="K263" s="143" t="s">
        <v>179</v>
      </c>
      <c r="L263" s="38"/>
    </row>
    <row r="264" spans="2:12" x14ac:dyDescent="0.3">
      <c r="E264" s="353"/>
      <c r="F264" s="353"/>
      <c r="G264" s="353"/>
      <c r="H264" s="353"/>
      <c r="I264" s="353"/>
    </row>
    <row r="265" spans="2:12" x14ac:dyDescent="0.3">
      <c r="C265" s="8" t="s">
        <v>80</v>
      </c>
      <c r="D265" s="11" t="s">
        <v>127</v>
      </c>
      <c r="E265" s="352">
        <v>72.107761123971642</v>
      </c>
      <c r="F265" s="352">
        <v>70.384993027619856</v>
      </c>
      <c r="G265" s="352">
        <v>76.116</v>
      </c>
      <c r="H265" s="352">
        <v>77.296603910000002</v>
      </c>
      <c r="I265" s="352">
        <v>91.007000000000005</v>
      </c>
      <c r="K265" s="141"/>
    </row>
    <row r="266" spans="2:12" x14ac:dyDescent="0.3">
      <c r="C266" s="8" t="s">
        <v>82</v>
      </c>
      <c r="D266" s="11" t="s">
        <v>127</v>
      </c>
      <c r="E266" s="352">
        <v>62.06</v>
      </c>
      <c r="F266" s="352">
        <v>57.381</v>
      </c>
      <c r="G266" s="352">
        <v>58.957000000000001</v>
      </c>
      <c r="H266" s="352">
        <v>56.28</v>
      </c>
      <c r="I266" s="352">
        <v>60.146999999999998</v>
      </c>
      <c r="K266" s="141"/>
    </row>
    <row r="267" spans="2:12" x14ac:dyDescent="0.3">
      <c r="C267" s="8" t="s">
        <v>85</v>
      </c>
      <c r="D267" s="11" t="s">
        <v>127</v>
      </c>
      <c r="E267" s="352">
        <v>2.7454121880208575</v>
      </c>
      <c r="F267" s="352">
        <v>2.5179999999999998</v>
      </c>
      <c r="G267" s="352">
        <v>2.2040000000000002</v>
      </c>
      <c r="H267" s="352">
        <v>2.83</v>
      </c>
      <c r="I267" s="352">
        <v>3.0470000000000002</v>
      </c>
      <c r="K267" s="141" t="s">
        <v>419</v>
      </c>
    </row>
    <row r="268" spans="2:12" x14ac:dyDescent="0.3">
      <c r="C268" s="8" t="s">
        <v>87</v>
      </c>
      <c r="D268" s="11" t="s">
        <v>127</v>
      </c>
      <c r="E268" s="352">
        <v>44.024000000000008</v>
      </c>
      <c r="F268" s="352">
        <v>45.385000000000005</v>
      </c>
      <c r="G268" s="352">
        <v>49.222999999999999</v>
      </c>
      <c r="H268" s="352">
        <v>56.573</v>
      </c>
      <c r="I268" s="352">
        <v>67.244</v>
      </c>
      <c r="K268" s="141"/>
    </row>
    <row r="269" spans="2:12" x14ac:dyDescent="0.3">
      <c r="C269" s="8" t="s">
        <v>89</v>
      </c>
      <c r="D269" s="11" t="s">
        <v>127</v>
      </c>
      <c r="E269" s="352">
        <v>86.736000000000004</v>
      </c>
      <c r="F269" s="352">
        <v>84.555000000000007</v>
      </c>
      <c r="G269" s="352">
        <v>94.064999999999998</v>
      </c>
      <c r="H269" s="352">
        <v>99.35</v>
      </c>
      <c r="I269" s="352">
        <v>115.35299999999999</v>
      </c>
      <c r="K269" s="141" t="s">
        <v>420</v>
      </c>
    </row>
    <row r="270" spans="2:12" x14ac:dyDescent="0.3">
      <c r="C270" s="8" t="s">
        <v>91</v>
      </c>
      <c r="D270" s="11" t="s">
        <v>127</v>
      </c>
      <c r="E270" s="352">
        <v>34.946999999999996</v>
      </c>
      <c r="F270" s="352">
        <v>31.983000000000004</v>
      </c>
      <c r="G270" s="352">
        <v>31.05</v>
      </c>
      <c r="H270" s="352">
        <v>27.707999999999998</v>
      </c>
      <c r="I270" s="352">
        <v>30.259499999999999</v>
      </c>
      <c r="K270" s="141"/>
    </row>
    <row r="271" spans="2:12" x14ac:dyDescent="0.3">
      <c r="C271" s="8" t="s">
        <v>94</v>
      </c>
      <c r="D271" s="11" t="s">
        <v>127</v>
      </c>
      <c r="E271" s="352">
        <v>81.027000000000001</v>
      </c>
      <c r="F271" s="352">
        <v>86.057999999999993</v>
      </c>
      <c r="G271" s="352">
        <v>76.119</v>
      </c>
      <c r="H271" s="352">
        <v>62.948</v>
      </c>
      <c r="I271" s="352">
        <v>82.634</v>
      </c>
      <c r="K271" s="141"/>
    </row>
    <row r="272" spans="2:12" x14ac:dyDescent="0.3">
      <c r="C272" s="8" t="s">
        <v>96</v>
      </c>
      <c r="D272" s="11" t="s">
        <v>127</v>
      </c>
      <c r="E272" s="352">
        <v>162.24193973624713</v>
      </c>
      <c r="F272" s="352">
        <v>163.37099999999998</v>
      </c>
      <c r="G272" s="352">
        <v>171.8</v>
      </c>
      <c r="H272" s="352">
        <v>178.52799999999999</v>
      </c>
      <c r="I272" s="352">
        <v>216.18299999999999</v>
      </c>
      <c r="K272" s="141"/>
    </row>
    <row r="273" spans="2:12" x14ac:dyDescent="0.3">
      <c r="C273" s="8" t="s">
        <v>98</v>
      </c>
      <c r="D273" s="11" t="s">
        <v>127</v>
      </c>
      <c r="E273" s="352">
        <v>120.30515406956067</v>
      </c>
      <c r="F273" s="352">
        <v>114.45122808650557</v>
      </c>
      <c r="G273" s="352">
        <v>113.62053081025999</v>
      </c>
      <c r="H273" s="352">
        <v>110.937110907781</v>
      </c>
      <c r="I273" s="352">
        <v>126.016428735186</v>
      </c>
      <c r="K273" s="141"/>
    </row>
    <row r="274" spans="2:12" x14ac:dyDescent="0.3">
      <c r="C274" s="8" t="s">
        <v>100</v>
      </c>
      <c r="D274" s="11" t="s">
        <v>127</v>
      </c>
      <c r="E274" s="352">
        <v>26.754587758045798</v>
      </c>
      <c r="F274" s="352">
        <v>27.273689046203401</v>
      </c>
      <c r="G274" s="352">
        <v>29.771088619529799</v>
      </c>
      <c r="H274" s="352">
        <v>33.957481750509103</v>
      </c>
      <c r="I274" s="352">
        <v>36.805671607603301</v>
      </c>
      <c r="K274" s="141"/>
    </row>
    <row r="275" spans="2:12" x14ac:dyDescent="0.3">
      <c r="C275" s="8" t="s">
        <v>102</v>
      </c>
      <c r="D275" s="11" t="s">
        <v>127</v>
      </c>
      <c r="E275" s="352">
        <v>56.061300000000003</v>
      </c>
      <c r="F275" s="352">
        <v>53.713000000000008</v>
      </c>
      <c r="G275" s="352">
        <v>57.851999999999997</v>
      </c>
      <c r="H275" s="352">
        <v>60.991</v>
      </c>
      <c r="I275" s="352">
        <v>67.838999999999999</v>
      </c>
      <c r="K275" s="141"/>
    </row>
    <row r="276" spans="2:12" x14ac:dyDescent="0.3">
      <c r="C276" s="8" t="s">
        <v>104</v>
      </c>
      <c r="D276" s="11" t="s">
        <v>127</v>
      </c>
      <c r="E276" s="352">
        <v>31.254999999999999</v>
      </c>
      <c r="F276" s="352">
        <v>31.374000000000002</v>
      </c>
      <c r="G276" s="352">
        <v>31.742000000000001</v>
      </c>
      <c r="H276" s="352">
        <v>27.841000000000001</v>
      </c>
      <c r="I276" s="352">
        <v>30.824000000000002</v>
      </c>
      <c r="K276" s="141"/>
    </row>
    <row r="277" spans="2:12" x14ac:dyDescent="0.3">
      <c r="C277" s="8" t="s">
        <v>106</v>
      </c>
      <c r="D277" s="11" t="s">
        <v>127</v>
      </c>
      <c r="E277" s="352">
        <v>8.3040000000000003</v>
      </c>
      <c r="F277" s="352">
        <v>8.3659999999999979</v>
      </c>
      <c r="G277" s="352">
        <v>9.3439999999999994</v>
      </c>
      <c r="H277" s="352">
        <v>10.942</v>
      </c>
      <c r="I277" s="352">
        <v>12.89028922</v>
      </c>
      <c r="K277" s="141"/>
    </row>
    <row r="278" spans="2:12" x14ac:dyDescent="0.3">
      <c r="C278" s="8" t="s">
        <v>108</v>
      </c>
      <c r="D278" s="11" t="s">
        <v>127</v>
      </c>
      <c r="E278" s="352">
        <v>4.7270000000000003</v>
      </c>
      <c r="F278" s="352">
        <v>4.1389999999999993</v>
      </c>
      <c r="G278" s="352">
        <v>4.9119999999999999</v>
      </c>
      <c r="H278" s="352">
        <v>4.556</v>
      </c>
      <c r="I278" s="352">
        <v>4.6580000000000004</v>
      </c>
      <c r="K278" s="141"/>
    </row>
    <row r="279" spans="2:12" x14ac:dyDescent="0.3">
      <c r="C279" s="8" t="s">
        <v>112</v>
      </c>
      <c r="D279" s="11" t="s">
        <v>127</v>
      </c>
      <c r="E279" s="352">
        <v>17.419999999999998</v>
      </c>
      <c r="F279" s="352">
        <v>15.726000000000003</v>
      </c>
      <c r="G279" s="352">
        <v>15.176</v>
      </c>
      <c r="H279" s="352">
        <v>15.96</v>
      </c>
      <c r="I279" s="352">
        <v>18.59</v>
      </c>
      <c r="K279" s="141"/>
    </row>
    <row r="280" spans="2:12" x14ac:dyDescent="0.3">
      <c r="C280" s="8" t="s">
        <v>114</v>
      </c>
      <c r="D280" s="11" t="s">
        <v>127</v>
      </c>
      <c r="E280" s="352">
        <v>13.076120548859775</v>
      </c>
      <c r="F280" s="352">
        <v>12.993286066204416</v>
      </c>
      <c r="G280" s="352">
        <v>12.674204954432399</v>
      </c>
      <c r="H280" s="352">
        <v>12.945</v>
      </c>
      <c r="I280" s="352">
        <v>20.638999999999999</v>
      </c>
      <c r="K280" s="141"/>
    </row>
    <row r="281" spans="2:12" x14ac:dyDescent="0.3">
      <c r="C281" s="8" t="s">
        <v>110</v>
      </c>
      <c r="D281" s="11" t="s">
        <v>127</v>
      </c>
      <c r="E281" s="352">
        <v>6.2610000000000001</v>
      </c>
      <c r="F281" s="352">
        <v>6.2889999999999997</v>
      </c>
      <c r="G281" s="352">
        <v>7.1920000000000002</v>
      </c>
      <c r="H281" s="352">
        <v>8.0739999999999998</v>
      </c>
      <c r="I281" s="352">
        <v>8.24</v>
      </c>
      <c r="K281" s="141"/>
    </row>
    <row r="283" spans="2:12" x14ac:dyDescent="0.3">
      <c r="B283" s="41" t="s">
        <v>25</v>
      </c>
      <c r="C283" s="42"/>
      <c r="D283" s="43"/>
      <c r="E283" s="44"/>
      <c r="F283" s="44"/>
      <c r="G283" s="44"/>
      <c r="H283" s="44"/>
      <c r="I283" s="44"/>
      <c r="J283" s="44"/>
      <c r="K283" s="44"/>
      <c r="L283" s="4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outlinePr summaryBelow="0"/>
  </sheetPr>
  <dimension ref="B2:V447"/>
  <sheetViews>
    <sheetView showGridLines="0" zoomScaleNormal="100" workbookViewId="0">
      <pane ySplit="3" topLeftCell="A4" activePane="bottomLeft" state="frozen"/>
      <selection pane="bottomLeft"/>
    </sheetView>
  </sheetViews>
  <sheetFormatPr defaultColWidth="9" defaultRowHeight="13" outlineLevelRow="1" x14ac:dyDescent="0.3"/>
  <cols>
    <col min="1" max="2" width="2.58203125" style="8" customWidth="1"/>
    <col min="3" max="3" width="23.33203125" style="8" bestFit="1" customWidth="1"/>
    <col min="4" max="4" width="9" style="11" customWidth="1"/>
    <col min="5" max="12" width="7.58203125" style="8" customWidth="1"/>
    <col min="13" max="13" width="2.58203125" style="8" customWidth="1"/>
    <col min="14" max="19" width="11.83203125" style="16" customWidth="1"/>
    <col min="20" max="20" width="9.5" style="16" customWidth="1"/>
    <col min="21" max="21" width="6.75" style="16" bestFit="1" customWidth="1"/>
    <col min="22" max="22" width="10" style="1" customWidth="1"/>
    <col min="23" max="16384" width="9" style="8"/>
  </cols>
  <sheetData>
    <row r="2" spans="2:22" s="1" customFormat="1" x14ac:dyDescent="0.3">
      <c r="B2" s="2"/>
      <c r="C2" s="2" t="s">
        <v>384</v>
      </c>
      <c r="D2" s="3" t="s">
        <v>385</v>
      </c>
      <c r="E2" s="4" t="s">
        <v>172</v>
      </c>
      <c r="F2" s="4" t="s">
        <v>173</v>
      </c>
      <c r="G2" s="4" t="s">
        <v>174</v>
      </c>
      <c r="H2" s="4" t="s">
        <v>175</v>
      </c>
      <c r="I2" s="4" t="s">
        <v>176</v>
      </c>
      <c r="J2" s="4" t="s">
        <v>177</v>
      </c>
      <c r="K2" s="4" t="s">
        <v>178</v>
      </c>
      <c r="L2" s="4" t="s">
        <v>151</v>
      </c>
      <c r="N2" s="5" t="s">
        <v>41</v>
      </c>
      <c r="O2" s="5"/>
      <c r="P2" s="5"/>
      <c r="Q2" s="5"/>
      <c r="R2" s="5"/>
      <c r="S2" s="5"/>
      <c r="T2" s="5"/>
      <c r="U2" s="5"/>
      <c r="V2" s="6"/>
    </row>
    <row r="3" spans="2:22" s="6" customFormat="1" x14ac:dyDescent="0.3">
      <c r="B3" s="7"/>
      <c r="C3" s="6" t="s">
        <v>386</v>
      </c>
      <c r="E3" s="6">
        <v>3</v>
      </c>
      <c r="F3" s="6">
        <v>4</v>
      </c>
      <c r="G3" s="6">
        <v>5</v>
      </c>
      <c r="H3" s="6">
        <v>6</v>
      </c>
      <c r="I3" s="6">
        <v>7</v>
      </c>
      <c r="J3" s="6">
        <v>8</v>
      </c>
      <c r="K3" s="6">
        <v>9</v>
      </c>
      <c r="L3" s="6">
        <v>10</v>
      </c>
    </row>
    <row r="5" spans="2:22" ht="13.5" x14ac:dyDescent="0.35">
      <c r="B5" s="9" t="s">
        <v>162</v>
      </c>
      <c r="C5" s="9"/>
      <c r="D5" s="10"/>
      <c r="E5" s="9"/>
      <c r="F5" s="9"/>
      <c r="G5" s="9"/>
      <c r="H5" s="9"/>
      <c r="I5" s="9"/>
      <c r="J5" s="9"/>
      <c r="K5" s="9"/>
      <c r="L5" s="9"/>
      <c r="M5" s="9"/>
      <c r="N5" s="144"/>
      <c r="O5" s="144"/>
      <c r="P5" s="144"/>
      <c r="Q5" s="144"/>
      <c r="R5" s="144"/>
      <c r="S5" s="144"/>
      <c r="T5" s="144"/>
      <c r="U5" s="144"/>
      <c r="V5" s="145"/>
    </row>
    <row r="6" spans="2:22" outlineLevel="1" x14ac:dyDescent="0.3"/>
    <row r="7" spans="2:22" s="30" customFormat="1" ht="13.5" outlineLevel="1" x14ac:dyDescent="0.35">
      <c r="B7" s="31" t="s">
        <v>421</v>
      </c>
      <c r="C7" s="31"/>
      <c r="D7" s="28"/>
      <c r="E7" s="29"/>
      <c r="F7" s="29"/>
      <c r="G7" s="29"/>
      <c r="H7" s="29"/>
      <c r="I7" s="29"/>
      <c r="J7" s="29"/>
      <c r="K7" s="29"/>
      <c r="L7" s="29"/>
      <c r="M7" s="29"/>
      <c r="N7" s="143" t="s">
        <v>422</v>
      </c>
      <c r="O7" s="143"/>
      <c r="P7" s="143"/>
      <c r="Q7" s="143" t="s">
        <v>183</v>
      </c>
      <c r="R7" s="143"/>
      <c r="S7" s="143"/>
      <c r="T7" s="143"/>
      <c r="U7" s="143"/>
      <c r="V7" s="146"/>
    </row>
    <row r="8" spans="2:22" outlineLevel="1" x14ac:dyDescent="0.3"/>
    <row r="9" spans="2:22" outlineLevel="1" x14ac:dyDescent="0.3">
      <c r="C9" s="8" t="s">
        <v>80</v>
      </c>
      <c r="D9" s="11" t="s">
        <v>135</v>
      </c>
      <c r="E9" s="352">
        <v>189.14430877213201</v>
      </c>
      <c r="F9" s="352">
        <v>192.720797385862</v>
      </c>
      <c r="G9" s="352">
        <v>191.99886023438</v>
      </c>
      <c r="H9" s="352">
        <v>182.64590090873199</v>
      </c>
      <c r="I9" s="352">
        <v>184.716123345873</v>
      </c>
      <c r="J9" s="352">
        <v>182.66</v>
      </c>
      <c r="K9" s="352">
        <v>191.24007283985699</v>
      </c>
      <c r="L9" s="352">
        <v>182.39</v>
      </c>
      <c r="M9" s="18"/>
      <c r="N9" s="6"/>
      <c r="O9" s="6"/>
      <c r="P9" s="6"/>
      <c r="Q9" s="6"/>
      <c r="R9" s="6"/>
      <c r="S9" s="6"/>
      <c r="T9" s="6"/>
      <c r="U9" s="6"/>
    </row>
    <row r="10" spans="2:22" outlineLevel="1" x14ac:dyDescent="0.3">
      <c r="C10" s="8" t="s">
        <v>82</v>
      </c>
      <c r="D10" s="11" t="s">
        <v>135</v>
      </c>
      <c r="E10" s="352">
        <v>184.8</v>
      </c>
      <c r="F10" s="352">
        <v>183.75</v>
      </c>
      <c r="G10" s="352">
        <v>179.52</v>
      </c>
      <c r="H10" s="352">
        <v>179.86</v>
      </c>
      <c r="I10" s="352">
        <v>175.43</v>
      </c>
      <c r="J10" s="352">
        <v>172.84899999999999</v>
      </c>
      <c r="K10" s="352">
        <v>169.54</v>
      </c>
      <c r="L10" s="352">
        <v>167.95</v>
      </c>
      <c r="M10" s="18"/>
      <c r="N10" s="6"/>
      <c r="O10" s="6"/>
      <c r="P10" s="6"/>
      <c r="Q10" s="6"/>
      <c r="R10" s="6"/>
      <c r="S10" s="6"/>
      <c r="T10" s="6"/>
      <c r="U10" s="6"/>
    </row>
    <row r="11" spans="2:22" outlineLevel="1" x14ac:dyDescent="0.3">
      <c r="C11" s="8" t="s">
        <v>85</v>
      </c>
      <c r="D11" s="11" t="s">
        <v>135</v>
      </c>
      <c r="E11" s="352">
        <v>14.132034121401718</v>
      </c>
      <c r="F11" s="352">
        <v>14.163946763937787</v>
      </c>
      <c r="G11" s="352">
        <v>14.226090648011846</v>
      </c>
      <c r="H11" s="352">
        <v>11.652000000000001</v>
      </c>
      <c r="I11" s="352">
        <v>14.37</v>
      </c>
      <c r="J11" s="352">
        <v>14.619861664762418</v>
      </c>
      <c r="K11" s="352">
        <v>15.271547781797601</v>
      </c>
      <c r="L11" s="352">
        <v>12.758414111069101</v>
      </c>
      <c r="M11" s="18"/>
      <c r="N11" s="6" t="s">
        <v>423</v>
      </c>
      <c r="O11" s="6"/>
      <c r="P11" s="6"/>
      <c r="Q11" s="6"/>
      <c r="R11" s="6"/>
      <c r="S11" s="6"/>
      <c r="T11" s="6"/>
      <c r="U11" s="6"/>
    </row>
    <row r="12" spans="2:22" outlineLevel="1" x14ac:dyDescent="0.3">
      <c r="C12" s="8" t="s">
        <v>87</v>
      </c>
      <c r="D12" s="11" t="s">
        <v>135</v>
      </c>
      <c r="E12" s="352">
        <v>189.88</v>
      </c>
      <c r="F12" s="352">
        <v>192.42</v>
      </c>
      <c r="G12" s="352">
        <v>197.63</v>
      </c>
      <c r="H12" s="352">
        <v>197.08</v>
      </c>
      <c r="I12" s="352">
        <v>201.9</v>
      </c>
      <c r="J12" s="352">
        <v>203.21</v>
      </c>
      <c r="K12" s="352">
        <v>200.44</v>
      </c>
      <c r="L12" s="352">
        <v>198.05</v>
      </c>
      <c r="M12" s="18"/>
      <c r="N12" s="6"/>
      <c r="O12" s="6"/>
      <c r="P12" s="6"/>
      <c r="Q12" s="6"/>
      <c r="R12" s="6"/>
      <c r="S12" s="6"/>
      <c r="T12" s="6"/>
      <c r="U12" s="6"/>
    </row>
    <row r="13" spans="2:22" outlineLevel="1" x14ac:dyDescent="0.3">
      <c r="C13" s="8" t="s">
        <v>89</v>
      </c>
      <c r="D13" s="11" t="s">
        <v>135</v>
      </c>
      <c r="E13" s="352">
        <v>436.27311311579626</v>
      </c>
      <c r="F13" s="352">
        <v>437.25829527622415</v>
      </c>
      <c r="G13" s="352">
        <v>439.17675269949331</v>
      </c>
      <c r="H13" s="352">
        <v>432.18</v>
      </c>
      <c r="I13" s="352">
        <v>430.5</v>
      </c>
      <c r="J13" s="352">
        <v>439.21999999999997</v>
      </c>
      <c r="K13" s="352">
        <v>424.36652485424298</v>
      </c>
      <c r="L13" s="352">
        <v>404.53421899477303</v>
      </c>
      <c r="M13" s="18"/>
      <c r="N13" s="6" t="s">
        <v>423</v>
      </c>
      <c r="O13" s="6"/>
      <c r="P13" s="6"/>
      <c r="Q13" s="6"/>
      <c r="R13" s="6"/>
      <c r="S13" s="6"/>
      <c r="T13" s="6"/>
      <c r="U13" s="6"/>
    </row>
    <row r="14" spans="2:22" outlineLevel="1" x14ac:dyDescent="0.3">
      <c r="C14" s="8" t="s">
        <v>91</v>
      </c>
      <c r="D14" s="11" t="s">
        <v>135</v>
      </c>
      <c r="E14" s="352">
        <v>105.1026538608006</v>
      </c>
      <c r="F14" s="352">
        <v>104.99</v>
      </c>
      <c r="G14" s="352">
        <v>105.2396126565489</v>
      </c>
      <c r="H14" s="352">
        <v>103.38</v>
      </c>
      <c r="I14" s="352">
        <v>103.51</v>
      </c>
      <c r="J14" s="352">
        <v>102.46</v>
      </c>
      <c r="K14" s="352">
        <v>103.638918532283</v>
      </c>
      <c r="L14" s="352">
        <v>106.32</v>
      </c>
      <c r="M14" s="18"/>
      <c r="N14" s="6"/>
      <c r="O14" s="6"/>
      <c r="P14" s="6"/>
      <c r="Q14" s="6"/>
      <c r="R14" s="6"/>
      <c r="S14" s="6"/>
      <c r="T14" s="6"/>
      <c r="U14" s="6"/>
    </row>
    <row r="15" spans="2:22" outlineLevel="1" x14ac:dyDescent="0.3">
      <c r="C15" s="8" t="s">
        <v>94</v>
      </c>
      <c r="D15" s="11" t="s">
        <v>135</v>
      </c>
      <c r="E15" s="352">
        <v>81.268901198179705</v>
      </c>
      <c r="F15" s="352">
        <v>84.59</v>
      </c>
      <c r="G15" s="352">
        <v>81.69</v>
      </c>
      <c r="H15" s="352">
        <v>83.91</v>
      </c>
      <c r="I15" s="352">
        <v>88.110156640835797</v>
      </c>
      <c r="J15" s="352">
        <v>88.680494328295197</v>
      </c>
      <c r="K15" s="352">
        <v>101.83</v>
      </c>
      <c r="L15" s="352">
        <v>94.04</v>
      </c>
      <c r="M15" s="18"/>
      <c r="N15" s="6"/>
      <c r="O15" s="6"/>
      <c r="P15" s="6"/>
      <c r="Q15" s="6"/>
      <c r="R15" s="6"/>
      <c r="S15" s="6"/>
      <c r="T15" s="6"/>
      <c r="U15" s="6"/>
    </row>
    <row r="16" spans="2:22" outlineLevel="1" x14ac:dyDescent="0.3">
      <c r="C16" s="8" t="s">
        <v>96</v>
      </c>
      <c r="D16" s="11" t="s">
        <v>135</v>
      </c>
      <c r="E16" s="352">
        <v>645.54282745752801</v>
      </c>
      <c r="F16" s="352">
        <v>644.29999999999995</v>
      </c>
      <c r="G16" s="352">
        <v>653.96</v>
      </c>
      <c r="H16" s="352">
        <v>642.46</v>
      </c>
      <c r="I16" s="352">
        <v>677.15227390796599</v>
      </c>
      <c r="J16" s="352">
        <v>694.65</v>
      </c>
      <c r="K16" s="352">
        <v>690.39</v>
      </c>
      <c r="L16" s="352">
        <v>594.83000000000004</v>
      </c>
      <c r="M16" s="18"/>
      <c r="N16" s="6"/>
      <c r="O16" s="6"/>
      <c r="P16" s="6"/>
      <c r="Q16" s="6"/>
      <c r="R16" s="6"/>
      <c r="S16" s="6"/>
      <c r="T16" s="6"/>
      <c r="U16" s="6"/>
    </row>
    <row r="17" spans="2:22" outlineLevel="1" x14ac:dyDescent="0.3">
      <c r="C17" s="8" t="s">
        <v>98</v>
      </c>
      <c r="D17" s="11" t="s">
        <v>135</v>
      </c>
      <c r="E17" s="352">
        <v>457.36316498791899</v>
      </c>
      <c r="F17" s="352">
        <v>451.93281348633298</v>
      </c>
      <c r="G17" s="352">
        <v>453.61355904751701</v>
      </c>
      <c r="H17" s="352">
        <v>451.85689213569498</v>
      </c>
      <c r="I17" s="352">
        <v>439.22019750905099</v>
      </c>
      <c r="J17" s="352">
        <v>453.52338212963201</v>
      </c>
      <c r="K17" s="352">
        <v>455.97429109638102</v>
      </c>
      <c r="L17" s="352">
        <v>446.10437844157599</v>
      </c>
      <c r="M17" s="18"/>
      <c r="N17" s="6"/>
      <c r="O17" s="6"/>
      <c r="P17" s="6"/>
      <c r="Q17" s="6"/>
      <c r="R17" s="6"/>
      <c r="S17" s="6"/>
      <c r="T17" s="6"/>
      <c r="U17" s="6"/>
    </row>
    <row r="18" spans="2:22" outlineLevel="1" x14ac:dyDescent="0.3">
      <c r="C18" s="8" t="s">
        <v>100</v>
      </c>
      <c r="D18" s="11" t="s">
        <v>135</v>
      </c>
      <c r="E18" s="352">
        <v>68.52</v>
      </c>
      <c r="F18" s="352">
        <v>69.33</v>
      </c>
      <c r="G18" s="352">
        <v>68.58</v>
      </c>
      <c r="H18" s="352">
        <v>68.33</v>
      </c>
      <c r="I18" s="352">
        <v>68.349999999999994</v>
      </c>
      <c r="J18" s="352">
        <v>67.709999999999994</v>
      </c>
      <c r="K18" s="352">
        <v>66.39</v>
      </c>
      <c r="L18" s="352">
        <v>61.35</v>
      </c>
      <c r="M18" s="18"/>
      <c r="N18" s="6"/>
      <c r="O18" s="6"/>
      <c r="P18" s="6"/>
      <c r="Q18" s="6"/>
      <c r="R18" s="6"/>
      <c r="S18" s="6"/>
      <c r="T18" s="6"/>
      <c r="U18" s="6"/>
    </row>
    <row r="19" spans="2:22" outlineLevel="1" x14ac:dyDescent="0.3">
      <c r="C19" s="8" t="s">
        <v>102</v>
      </c>
      <c r="D19" s="11" t="s">
        <v>135</v>
      </c>
      <c r="E19" s="352">
        <v>264.62</v>
      </c>
      <c r="F19" s="352">
        <v>282.27</v>
      </c>
      <c r="G19" s="352">
        <v>288.41547573538099</v>
      </c>
      <c r="H19" s="352">
        <v>285.120939363964</v>
      </c>
      <c r="I19" s="352">
        <v>295.16000000000003</v>
      </c>
      <c r="J19" s="352">
        <v>300.27999999999997</v>
      </c>
      <c r="K19" s="352">
        <v>289.77</v>
      </c>
      <c r="L19" s="352">
        <v>270.75</v>
      </c>
      <c r="M19" s="18"/>
      <c r="N19" s="6"/>
      <c r="O19" s="6"/>
      <c r="P19" s="6"/>
      <c r="Q19" s="6"/>
      <c r="R19" s="6"/>
      <c r="S19" s="6"/>
      <c r="T19" s="6"/>
      <c r="U19" s="6"/>
    </row>
    <row r="20" spans="2:22" outlineLevel="1" x14ac:dyDescent="0.3">
      <c r="C20" s="8" t="s">
        <v>104</v>
      </c>
      <c r="D20" s="11" t="s">
        <v>135</v>
      </c>
      <c r="E20" s="352">
        <v>189.488144241199</v>
      </c>
      <c r="F20" s="352">
        <v>180.741673275225</v>
      </c>
      <c r="G20" s="352">
        <v>183.485497630921</v>
      </c>
      <c r="H20" s="352">
        <v>180.88999899999999</v>
      </c>
      <c r="I20" s="352">
        <v>172.986870233817</v>
      </c>
      <c r="J20" s="352">
        <v>177.2</v>
      </c>
      <c r="K20" s="352">
        <v>196.07640970180401</v>
      </c>
      <c r="L20" s="352">
        <v>162.12150165483101</v>
      </c>
      <c r="M20" s="18"/>
      <c r="N20" s="6"/>
      <c r="O20" s="6"/>
      <c r="P20" s="6"/>
      <c r="Q20" s="6"/>
      <c r="R20" s="6"/>
      <c r="S20" s="6"/>
      <c r="T20" s="6"/>
      <c r="U20" s="6"/>
    </row>
    <row r="21" spans="2:22" outlineLevel="1" x14ac:dyDescent="0.3">
      <c r="C21" s="8" t="s">
        <v>106</v>
      </c>
      <c r="D21" s="11" t="s">
        <v>135</v>
      </c>
      <c r="E21" s="352">
        <v>42.1</v>
      </c>
      <c r="F21" s="352">
        <v>43.686864841972898</v>
      </c>
      <c r="G21" s="352">
        <v>45.117175086861799</v>
      </c>
      <c r="H21" s="352">
        <v>44.220819062218197</v>
      </c>
      <c r="I21" s="352">
        <v>46.42</v>
      </c>
      <c r="J21" s="352">
        <v>46.64</v>
      </c>
      <c r="K21" s="352">
        <v>41.71</v>
      </c>
      <c r="L21" s="352">
        <v>37.21</v>
      </c>
      <c r="M21" s="18"/>
      <c r="N21" s="6"/>
      <c r="O21" s="6"/>
      <c r="P21" s="6"/>
      <c r="Q21" s="6"/>
      <c r="R21" s="6"/>
      <c r="S21" s="6"/>
      <c r="T21" s="6"/>
      <c r="U21" s="6"/>
    </row>
    <row r="22" spans="2:22" outlineLevel="1" x14ac:dyDescent="0.3">
      <c r="C22" s="8" t="s">
        <v>108</v>
      </c>
      <c r="D22" s="11" t="s">
        <v>135</v>
      </c>
      <c r="E22" s="352">
        <v>34.07</v>
      </c>
      <c r="F22" s="352">
        <v>29.5</v>
      </c>
      <c r="G22" s="352">
        <v>28.85</v>
      </c>
      <c r="H22" s="352">
        <v>28.23</v>
      </c>
      <c r="I22" s="352">
        <v>30.37</v>
      </c>
      <c r="J22" s="352">
        <v>32.869999999999997</v>
      </c>
      <c r="K22" s="352">
        <v>28.12</v>
      </c>
      <c r="L22" s="352">
        <v>23.58</v>
      </c>
      <c r="M22" s="18"/>
      <c r="N22" s="6"/>
      <c r="O22" s="6"/>
      <c r="P22" s="6"/>
      <c r="Q22" s="6"/>
      <c r="R22" s="6"/>
      <c r="S22" s="6"/>
      <c r="T22" s="6"/>
      <c r="U22" s="6"/>
    </row>
    <row r="23" spans="2:22" outlineLevel="1" x14ac:dyDescent="0.3">
      <c r="C23" s="8" t="s">
        <v>112</v>
      </c>
      <c r="D23" s="11" t="s">
        <v>135</v>
      </c>
      <c r="E23" s="352">
        <v>93.16</v>
      </c>
      <c r="F23" s="352">
        <v>92.558189507076605</v>
      </c>
      <c r="G23" s="352">
        <v>92.452515149166402</v>
      </c>
      <c r="H23" s="352">
        <v>88.107760204071198</v>
      </c>
      <c r="I23" s="352">
        <v>88.625186521672603</v>
      </c>
      <c r="J23" s="352">
        <v>87.69</v>
      </c>
      <c r="K23" s="352">
        <v>86.88</v>
      </c>
      <c r="L23" s="352">
        <v>86.4003977659047</v>
      </c>
      <c r="M23" s="18"/>
      <c r="N23" s="6"/>
      <c r="O23" s="6"/>
      <c r="P23" s="6"/>
      <c r="Q23" s="6"/>
      <c r="R23" s="6"/>
      <c r="S23" s="6"/>
      <c r="T23" s="6"/>
      <c r="U23" s="6"/>
    </row>
    <row r="24" spans="2:22" outlineLevel="1" x14ac:dyDescent="0.3">
      <c r="C24" s="8" t="s">
        <v>114</v>
      </c>
      <c r="D24" s="11" t="s">
        <v>135</v>
      </c>
      <c r="E24" s="352">
        <v>77.61</v>
      </c>
      <c r="F24" s="352">
        <v>79.594395391550506</v>
      </c>
      <c r="G24" s="352">
        <v>82.748233259873899</v>
      </c>
      <c r="H24" s="352">
        <v>83.119603622010601</v>
      </c>
      <c r="I24" s="352">
        <v>84.17</v>
      </c>
      <c r="J24" s="352">
        <v>86.8</v>
      </c>
      <c r="K24" s="352">
        <v>83.74</v>
      </c>
      <c r="L24" s="352">
        <v>81.69</v>
      </c>
      <c r="M24" s="18"/>
      <c r="N24" s="6"/>
      <c r="O24" s="6"/>
      <c r="P24" s="6"/>
      <c r="Q24" s="6"/>
      <c r="R24" s="6"/>
      <c r="S24" s="6"/>
      <c r="T24" s="6"/>
      <c r="U24" s="6"/>
    </row>
    <row r="25" spans="2:22" outlineLevel="1" x14ac:dyDescent="0.3">
      <c r="C25" s="8" t="s">
        <v>110</v>
      </c>
      <c r="D25" s="11" t="s">
        <v>135</v>
      </c>
      <c r="E25" s="352">
        <v>23.74</v>
      </c>
      <c r="F25" s="352">
        <v>23.93</v>
      </c>
      <c r="G25" s="352">
        <v>24.16</v>
      </c>
      <c r="H25" s="352">
        <v>24.17</v>
      </c>
      <c r="I25" s="352">
        <v>24.34</v>
      </c>
      <c r="J25" s="352">
        <v>24.16</v>
      </c>
      <c r="K25" s="352">
        <v>24.15</v>
      </c>
      <c r="L25" s="352">
        <v>23.95</v>
      </c>
      <c r="M25" s="18"/>
      <c r="N25" s="6"/>
      <c r="O25" s="6"/>
      <c r="P25" s="6"/>
      <c r="Q25" s="6"/>
      <c r="R25" s="6"/>
      <c r="S25" s="6"/>
      <c r="T25" s="6"/>
      <c r="U25" s="6"/>
    </row>
    <row r="26" spans="2:22" outlineLevel="1" x14ac:dyDescent="0.3"/>
    <row r="27" spans="2:22" outlineLevel="1" x14ac:dyDescent="0.3">
      <c r="C27" s="12" t="s">
        <v>424</v>
      </c>
      <c r="D27" s="13" t="s">
        <v>135</v>
      </c>
      <c r="E27" s="14">
        <f>SUM(E9:E25)</f>
        <v>3096.8151477549559</v>
      </c>
      <c r="F27" s="14">
        <f t="shared" ref="F27:L27" si="0">SUM(F9:F25)</f>
        <v>3107.7369759281814</v>
      </c>
      <c r="G27" s="14">
        <f t="shared" si="0"/>
        <v>3130.8637721481546</v>
      </c>
      <c r="H27" s="14">
        <f t="shared" si="0"/>
        <v>3087.2139142966917</v>
      </c>
      <c r="I27" s="14">
        <f t="shared" si="0"/>
        <v>3125.3308081592158</v>
      </c>
      <c r="J27" s="14">
        <f t="shared" si="0"/>
        <v>3175.2227381226894</v>
      </c>
      <c r="K27" s="14">
        <f t="shared" si="0"/>
        <v>3169.5277648063652</v>
      </c>
      <c r="L27" s="14">
        <f t="shared" si="0"/>
        <v>2954.028910968153</v>
      </c>
    </row>
    <row r="28" spans="2:22" outlineLevel="1" x14ac:dyDescent="0.3"/>
    <row r="29" spans="2:22" s="30" customFormat="1" ht="13.5" outlineLevel="1" x14ac:dyDescent="0.35">
      <c r="B29" s="31" t="s">
        <v>425</v>
      </c>
      <c r="C29" s="31"/>
      <c r="D29" s="28"/>
      <c r="E29" s="29"/>
      <c r="F29" s="29"/>
      <c r="G29" s="29"/>
      <c r="H29" s="29"/>
      <c r="I29" s="29"/>
      <c r="J29" s="29"/>
      <c r="K29" s="29"/>
      <c r="L29" s="29"/>
      <c r="M29" s="29"/>
      <c r="N29" s="143" t="s">
        <v>426</v>
      </c>
      <c r="O29" s="143"/>
      <c r="P29" s="143"/>
      <c r="Q29" s="143"/>
      <c r="R29" s="143"/>
      <c r="S29" s="143" t="s">
        <v>181</v>
      </c>
      <c r="T29" s="143"/>
      <c r="U29" s="143"/>
      <c r="V29" s="146"/>
    </row>
    <row r="30" spans="2:22" outlineLevel="1" x14ac:dyDescent="0.3"/>
    <row r="31" spans="2:22" outlineLevel="1" x14ac:dyDescent="0.3">
      <c r="C31" s="8" t="s">
        <v>80</v>
      </c>
      <c r="D31" s="11" t="s">
        <v>137</v>
      </c>
      <c r="E31" s="359">
        <v>38006.129999999997</v>
      </c>
      <c r="F31" s="359">
        <v>38076.050000000003</v>
      </c>
      <c r="G31" s="359">
        <v>38095.050000000003</v>
      </c>
      <c r="H31" s="359">
        <v>38184.71</v>
      </c>
      <c r="I31" s="359">
        <v>38325.279999999999</v>
      </c>
      <c r="J31" s="359">
        <v>38419.65</v>
      </c>
      <c r="K31" s="359">
        <v>38584.370000000003</v>
      </c>
      <c r="L31" s="359">
        <v>38709</v>
      </c>
      <c r="M31" s="18"/>
      <c r="N31" s="6"/>
      <c r="O31" s="6"/>
      <c r="P31" s="6"/>
      <c r="Q31" s="6"/>
      <c r="R31" s="6"/>
      <c r="S31" s="6"/>
      <c r="T31" s="6"/>
      <c r="U31" s="6"/>
    </row>
    <row r="32" spans="2:22" outlineLevel="1" x14ac:dyDescent="0.3">
      <c r="C32" s="8" t="s">
        <v>82</v>
      </c>
      <c r="D32" s="11" t="s">
        <v>137</v>
      </c>
      <c r="E32" s="359">
        <v>27225.7</v>
      </c>
      <c r="F32" s="359">
        <v>27218.7</v>
      </c>
      <c r="G32" s="359">
        <v>27275.3</v>
      </c>
      <c r="H32" s="359">
        <v>27359.8</v>
      </c>
      <c r="I32" s="359">
        <v>27563.599999999999</v>
      </c>
      <c r="J32" s="359">
        <v>27597</v>
      </c>
      <c r="K32" s="359">
        <v>27644.400000000001</v>
      </c>
      <c r="L32" s="359">
        <v>27733.4</v>
      </c>
      <c r="M32" s="18"/>
      <c r="N32" s="6"/>
      <c r="O32" s="6"/>
      <c r="P32" s="6"/>
      <c r="Q32" s="6"/>
      <c r="R32" s="6"/>
      <c r="S32" s="6"/>
      <c r="T32" s="6"/>
      <c r="U32" s="6"/>
    </row>
    <row r="33" spans="3:21" outlineLevel="1" x14ac:dyDescent="0.3">
      <c r="C33" s="8" t="s">
        <v>85</v>
      </c>
      <c r="D33" s="11" t="s">
        <v>137</v>
      </c>
      <c r="E33" s="359">
        <v>2577.0311208885255</v>
      </c>
      <c r="F33" s="359">
        <v>2581.4933484256035</v>
      </c>
      <c r="G33" s="359">
        <v>2585.5677097198404</v>
      </c>
      <c r="H33" s="359">
        <v>2595.5297603449544</v>
      </c>
      <c r="I33" s="359">
        <v>2603.4588473424196</v>
      </c>
      <c r="J33" s="359">
        <v>2626.6137800000001</v>
      </c>
      <c r="K33" s="359">
        <v>2606.0845890000001</v>
      </c>
      <c r="L33" s="359">
        <v>2619.2333619999999</v>
      </c>
      <c r="M33" s="18"/>
      <c r="N33" s="6" t="s">
        <v>427</v>
      </c>
      <c r="O33" s="6"/>
      <c r="P33" s="6"/>
      <c r="Q33" s="6"/>
      <c r="R33" s="6"/>
      <c r="S33" s="6"/>
      <c r="T33" s="6"/>
      <c r="U33" s="6"/>
    </row>
    <row r="34" spans="3:21" outlineLevel="1" x14ac:dyDescent="0.3">
      <c r="C34" s="8" t="s">
        <v>87</v>
      </c>
      <c r="D34" s="11" t="s">
        <v>137</v>
      </c>
      <c r="E34" s="359">
        <v>25406.7</v>
      </c>
      <c r="F34" s="359">
        <v>25613</v>
      </c>
      <c r="G34" s="359">
        <v>25676.3</v>
      </c>
      <c r="H34" s="359">
        <v>25760.6</v>
      </c>
      <c r="I34" s="359">
        <v>25812.799999999999</v>
      </c>
      <c r="J34" s="359">
        <v>25912.1</v>
      </c>
      <c r="K34" s="359">
        <v>26032.3</v>
      </c>
      <c r="L34" s="359">
        <v>26200.2</v>
      </c>
      <c r="M34" s="18"/>
      <c r="N34" s="6"/>
      <c r="O34" s="6"/>
      <c r="P34" s="6"/>
      <c r="Q34" s="6"/>
      <c r="R34" s="6"/>
      <c r="S34" s="6"/>
      <c r="T34" s="6"/>
      <c r="U34" s="6"/>
    </row>
    <row r="35" spans="3:21" outlineLevel="1" x14ac:dyDescent="0.3">
      <c r="C35" s="8" t="s">
        <v>89</v>
      </c>
      <c r="D35" s="11" t="s">
        <v>137</v>
      </c>
      <c r="E35" s="359">
        <v>45975.106527863332</v>
      </c>
      <c r="F35" s="359">
        <v>46054.714175867986</v>
      </c>
      <c r="G35" s="359">
        <v>46127.402158957208</v>
      </c>
      <c r="H35" s="359">
        <v>46305.128510421557</v>
      </c>
      <c r="I35" s="359">
        <v>46446.58610339446</v>
      </c>
      <c r="J35" s="359">
        <v>46539.848021002996</v>
      </c>
      <c r="K35" s="359">
        <v>46814.915666002998</v>
      </c>
      <c r="L35" s="359">
        <v>47064.410355004002</v>
      </c>
      <c r="M35" s="18"/>
      <c r="N35" s="6" t="s">
        <v>427</v>
      </c>
      <c r="O35" s="6"/>
      <c r="P35" s="6"/>
      <c r="Q35" s="6"/>
      <c r="R35" s="6"/>
      <c r="S35" s="6"/>
      <c r="T35" s="6"/>
      <c r="U35" s="6"/>
    </row>
    <row r="36" spans="3:21" outlineLevel="1" x14ac:dyDescent="0.3">
      <c r="C36" s="8" t="s">
        <v>91</v>
      </c>
      <c r="D36" s="11" t="s">
        <v>137</v>
      </c>
      <c r="E36" s="359">
        <v>17997.86</v>
      </c>
      <c r="F36" s="359">
        <v>18024.21</v>
      </c>
      <c r="G36" s="359">
        <v>18082.939999999999</v>
      </c>
      <c r="H36" s="359">
        <v>18117.32</v>
      </c>
      <c r="I36" s="359">
        <v>18176.099999999999</v>
      </c>
      <c r="J36" s="359">
        <v>18233</v>
      </c>
      <c r="K36" s="359">
        <v>18300.34</v>
      </c>
      <c r="L36" s="359">
        <v>18369.64</v>
      </c>
      <c r="M36" s="18"/>
      <c r="N36" s="6"/>
      <c r="O36" s="6"/>
      <c r="P36" s="6"/>
      <c r="Q36" s="6"/>
      <c r="R36" s="6"/>
      <c r="S36" s="6"/>
      <c r="T36" s="6"/>
      <c r="U36" s="6"/>
    </row>
    <row r="37" spans="3:21" outlineLevel="1" x14ac:dyDescent="0.3">
      <c r="C37" s="8" t="s">
        <v>94</v>
      </c>
      <c r="D37" s="11" t="s">
        <v>137</v>
      </c>
      <c r="E37" s="359">
        <v>13735.07</v>
      </c>
      <c r="F37" s="359">
        <v>13753.18</v>
      </c>
      <c r="G37" s="359">
        <v>13792.82</v>
      </c>
      <c r="H37" s="359">
        <v>13837.42</v>
      </c>
      <c r="I37" s="359">
        <v>13870.3045</v>
      </c>
      <c r="J37" s="359">
        <v>13905.12</v>
      </c>
      <c r="K37" s="359">
        <v>13929.4851</v>
      </c>
      <c r="L37" s="359">
        <v>13959.3</v>
      </c>
      <c r="M37" s="18"/>
      <c r="N37" s="6"/>
      <c r="O37" s="6"/>
      <c r="P37" s="6"/>
      <c r="Q37" s="6"/>
      <c r="R37" s="6"/>
      <c r="S37" s="6"/>
      <c r="T37" s="6"/>
      <c r="U37" s="6"/>
    </row>
    <row r="38" spans="3:21" outlineLevel="1" x14ac:dyDescent="0.3">
      <c r="C38" s="8" t="s">
        <v>96</v>
      </c>
      <c r="D38" s="11" t="s">
        <v>137</v>
      </c>
      <c r="E38" s="359">
        <v>31186.941609252201</v>
      </c>
      <c r="F38" s="359">
        <v>31114.729238496999</v>
      </c>
      <c r="G38" s="359">
        <v>31147.73</v>
      </c>
      <c r="H38" s="359">
        <v>31266.5</v>
      </c>
      <c r="I38" s="359">
        <v>31373.7</v>
      </c>
      <c r="J38" s="359">
        <v>31460.6</v>
      </c>
      <c r="K38" s="359">
        <v>31549.996711005999</v>
      </c>
      <c r="L38" s="359">
        <v>31624.04</v>
      </c>
      <c r="M38" s="18"/>
      <c r="N38" s="6"/>
      <c r="O38" s="6"/>
      <c r="P38" s="6"/>
      <c r="Q38" s="6"/>
      <c r="R38" s="6"/>
      <c r="S38" s="6"/>
      <c r="T38" s="6"/>
      <c r="U38" s="6"/>
    </row>
    <row r="39" spans="3:21" outlineLevel="1" x14ac:dyDescent="0.3">
      <c r="C39" s="8" t="s">
        <v>98</v>
      </c>
      <c r="D39" s="11" t="s">
        <v>137</v>
      </c>
      <c r="E39" s="359">
        <v>41578.134806973998</v>
      </c>
      <c r="F39" s="359">
        <v>41578.134806973998</v>
      </c>
      <c r="G39" s="359">
        <v>41715.672245102003</v>
      </c>
      <c r="H39" s="359">
        <v>41881.199636233003</v>
      </c>
      <c r="I39" s="359">
        <v>42010.7</v>
      </c>
      <c r="J39" s="359">
        <v>42102.877915341996</v>
      </c>
      <c r="K39" s="359">
        <v>42198.05</v>
      </c>
      <c r="L39" s="359">
        <v>42382.02</v>
      </c>
      <c r="M39" s="18"/>
      <c r="N39" s="6"/>
      <c r="O39" s="6"/>
      <c r="P39" s="6"/>
      <c r="Q39" s="6"/>
      <c r="R39" s="6"/>
      <c r="S39" s="6"/>
      <c r="T39" s="6"/>
      <c r="U39" s="6"/>
    </row>
    <row r="40" spans="3:21" outlineLevel="1" x14ac:dyDescent="0.3">
      <c r="C40" s="8" t="s">
        <v>100</v>
      </c>
      <c r="D40" s="11" t="s">
        <v>137</v>
      </c>
      <c r="E40" s="359">
        <v>11610.2</v>
      </c>
      <c r="F40" s="359">
        <v>11645.4</v>
      </c>
      <c r="G40" s="359">
        <v>11687.9</v>
      </c>
      <c r="H40" s="359">
        <v>11762</v>
      </c>
      <c r="I40" s="359">
        <v>11894.6</v>
      </c>
      <c r="J40" s="359">
        <v>11935.02</v>
      </c>
      <c r="K40" s="359">
        <v>11976.629000000001</v>
      </c>
      <c r="L40" s="359">
        <v>12028.183999999999</v>
      </c>
      <c r="M40" s="18"/>
      <c r="N40" s="6"/>
      <c r="O40" s="6"/>
      <c r="P40" s="6"/>
      <c r="Q40" s="6"/>
      <c r="R40" s="6"/>
      <c r="S40" s="6"/>
      <c r="T40" s="6"/>
      <c r="U40" s="6"/>
    </row>
    <row r="41" spans="3:21" outlineLevel="1" x14ac:dyDescent="0.3">
      <c r="C41" s="8" t="s">
        <v>102</v>
      </c>
      <c r="D41" s="11" t="s">
        <v>137</v>
      </c>
      <c r="E41" s="359">
        <v>31274.080000000002</v>
      </c>
      <c r="F41" s="359">
        <v>31363.38</v>
      </c>
      <c r="G41" s="359">
        <v>31404.9</v>
      </c>
      <c r="H41" s="359">
        <v>31531.96</v>
      </c>
      <c r="I41" s="359">
        <v>31604.71</v>
      </c>
      <c r="J41" s="359">
        <v>31693.4</v>
      </c>
      <c r="K41" s="359">
        <v>31790.1</v>
      </c>
      <c r="L41" s="359">
        <v>31890.9</v>
      </c>
      <c r="M41" s="18"/>
      <c r="N41" s="6"/>
      <c r="O41" s="6"/>
      <c r="P41" s="6"/>
      <c r="Q41" s="6"/>
      <c r="R41" s="6"/>
      <c r="S41" s="6"/>
      <c r="T41" s="6"/>
      <c r="U41" s="6"/>
    </row>
    <row r="42" spans="3:21" outlineLevel="1" x14ac:dyDescent="0.3">
      <c r="C42" s="8" t="s">
        <v>104</v>
      </c>
      <c r="D42" s="11" t="s">
        <v>137</v>
      </c>
      <c r="E42" s="359">
        <v>16548.7132016</v>
      </c>
      <c r="F42" s="359">
        <v>16568.337314220302</v>
      </c>
      <c r="G42" s="359">
        <v>16595.528297397599</v>
      </c>
      <c r="H42" s="359">
        <v>16613.295909999601</v>
      </c>
      <c r="I42" s="359">
        <v>16636.496523473201</v>
      </c>
      <c r="J42" s="359">
        <v>16682.306095550899</v>
      </c>
      <c r="K42" s="359">
        <v>16728.8</v>
      </c>
      <c r="L42" s="359">
        <v>16789.314999999999</v>
      </c>
      <c r="M42" s="18"/>
      <c r="N42" s="6"/>
      <c r="O42" s="6"/>
      <c r="P42" s="6"/>
      <c r="Q42" s="6"/>
      <c r="R42" s="6"/>
      <c r="S42" s="6"/>
      <c r="T42" s="6"/>
      <c r="U42" s="6"/>
    </row>
    <row r="43" spans="3:21" outlineLevel="1" x14ac:dyDescent="0.3">
      <c r="C43" s="8" t="s">
        <v>106</v>
      </c>
      <c r="D43" s="11" t="s">
        <v>137</v>
      </c>
      <c r="E43" s="359">
        <v>6677</v>
      </c>
      <c r="F43" s="359">
        <v>6708.1</v>
      </c>
      <c r="G43" s="359">
        <v>6734.1</v>
      </c>
      <c r="H43" s="359">
        <v>6747.6</v>
      </c>
      <c r="I43" s="359">
        <v>6768.3</v>
      </c>
      <c r="J43" s="359">
        <v>6828.07</v>
      </c>
      <c r="K43" s="359">
        <v>6848</v>
      </c>
      <c r="L43" s="359">
        <v>6874.91</v>
      </c>
      <c r="M43" s="18"/>
      <c r="N43" s="6"/>
      <c r="O43" s="6"/>
      <c r="P43" s="6"/>
      <c r="Q43" s="6"/>
      <c r="R43" s="6"/>
      <c r="S43" s="6"/>
      <c r="T43" s="6"/>
      <c r="U43" s="6"/>
    </row>
    <row r="44" spans="3:21" outlineLevel="1" x14ac:dyDescent="0.3">
      <c r="C44" s="8" t="s">
        <v>108</v>
      </c>
      <c r="D44" s="11" t="s">
        <v>137</v>
      </c>
      <c r="E44" s="359">
        <v>3270.5</v>
      </c>
      <c r="F44" s="359">
        <v>3280.1</v>
      </c>
      <c r="G44" s="359">
        <v>3291.8</v>
      </c>
      <c r="H44" s="359">
        <v>3306.8</v>
      </c>
      <c r="I44" s="359">
        <v>3324</v>
      </c>
      <c r="J44" s="359">
        <v>3336.6</v>
      </c>
      <c r="K44" s="359">
        <v>3348.6</v>
      </c>
      <c r="L44" s="359">
        <v>3358.6</v>
      </c>
      <c r="M44" s="18"/>
      <c r="N44" s="6"/>
      <c r="O44" s="6"/>
      <c r="P44" s="6"/>
      <c r="Q44" s="6"/>
      <c r="R44" s="6"/>
      <c r="S44" s="6"/>
      <c r="T44" s="6"/>
      <c r="U44" s="6"/>
    </row>
    <row r="45" spans="3:21" outlineLevel="1" x14ac:dyDescent="0.3">
      <c r="C45" s="8" t="s">
        <v>112</v>
      </c>
      <c r="D45" s="11" t="s">
        <v>137</v>
      </c>
      <c r="E45" s="359">
        <v>14397.9</v>
      </c>
      <c r="F45" s="359">
        <v>14437.9</v>
      </c>
      <c r="G45" s="359">
        <v>14497</v>
      </c>
      <c r="H45" s="359">
        <v>14528.47</v>
      </c>
      <c r="I45" s="359">
        <v>14557.06</v>
      </c>
      <c r="J45" s="359">
        <v>14620.7</v>
      </c>
      <c r="K45" s="359">
        <v>14652.4</v>
      </c>
      <c r="L45" s="359">
        <v>14752.770929336401</v>
      </c>
      <c r="M45" s="18"/>
      <c r="N45" s="6"/>
      <c r="O45" s="6"/>
      <c r="P45" s="6"/>
      <c r="Q45" s="6"/>
      <c r="R45" s="6"/>
      <c r="S45" s="6"/>
      <c r="T45" s="6"/>
      <c r="U45" s="6"/>
    </row>
    <row r="46" spans="3:21" outlineLevel="1" x14ac:dyDescent="0.3">
      <c r="C46" s="8" t="s">
        <v>114</v>
      </c>
      <c r="D46" s="11" t="s">
        <v>137</v>
      </c>
      <c r="E46" s="359">
        <v>8319.86</v>
      </c>
      <c r="F46" s="359">
        <v>8333.9500000000007</v>
      </c>
      <c r="G46" s="359">
        <v>8365.7900000000009</v>
      </c>
      <c r="H46" s="359">
        <v>8386.09</v>
      </c>
      <c r="I46" s="359">
        <v>8433.1</v>
      </c>
      <c r="J46" s="359">
        <v>8490.91</v>
      </c>
      <c r="K46" s="359">
        <v>8529.8700000000008</v>
      </c>
      <c r="L46" s="359">
        <v>8579.5</v>
      </c>
      <c r="M46" s="18"/>
      <c r="N46" s="6"/>
      <c r="O46" s="6"/>
      <c r="P46" s="6"/>
      <c r="Q46" s="6"/>
      <c r="R46" s="6"/>
      <c r="S46" s="6"/>
      <c r="T46" s="6"/>
      <c r="U46" s="6"/>
    </row>
    <row r="47" spans="3:21" outlineLevel="1" x14ac:dyDescent="0.3">
      <c r="C47" s="8" t="s">
        <v>110</v>
      </c>
      <c r="D47" s="11" t="s">
        <v>137</v>
      </c>
      <c r="E47" s="359">
        <v>3443.9</v>
      </c>
      <c r="F47" s="359">
        <v>3458.6</v>
      </c>
      <c r="G47" s="359">
        <v>3465.7</v>
      </c>
      <c r="H47" s="359">
        <v>3484.3</v>
      </c>
      <c r="I47" s="359">
        <v>3474.8</v>
      </c>
      <c r="J47" s="359">
        <v>3481.05</v>
      </c>
      <c r="K47" s="359">
        <v>3499.72</v>
      </c>
      <c r="L47" s="359">
        <v>3519.4724805708202</v>
      </c>
      <c r="M47" s="18"/>
      <c r="N47" s="6"/>
      <c r="O47" s="6"/>
      <c r="P47" s="6"/>
      <c r="Q47" s="6"/>
      <c r="R47" s="6"/>
      <c r="S47" s="6"/>
      <c r="T47" s="6"/>
      <c r="U47" s="6"/>
    </row>
    <row r="48" spans="3:21" outlineLevel="1" x14ac:dyDescent="0.3"/>
    <row r="49" spans="2:22" outlineLevel="1" x14ac:dyDescent="0.3">
      <c r="C49" s="12" t="s">
        <v>424</v>
      </c>
      <c r="D49" s="13" t="s">
        <v>137</v>
      </c>
      <c r="E49" s="15">
        <f>SUM(E31:E47)</f>
        <v>339230.8272665781</v>
      </c>
      <c r="F49" s="15">
        <f t="shared" ref="F49:L49" si="1">SUM(F31:F47)</f>
        <v>339809.97888398485</v>
      </c>
      <c r="G49" s="15">
        <f t="shared" si="1"/>
        <v>340541.50041117665</v>
      </c>
      <c r="H49" s="15">
        <f t="shared" si="1"/>
        <v>341668.72381699906</v>
      </c>
      <c r="I49" s="15">
        <f t="shared" si="1"/>
        <v>342875.59597421001</v>
      </c>
      <c r="J49" s="15">
        <f t="shared" si="1"/>
        <v>343864.86581189581</v>
      </c>
      <c r="K49" s="15">
        <f t="shared" si="1"/>
        <v>345034.06106600893</v>
      </c>
      <c r="L49" s="15">
        <f t="shared" si="1"/>
        <v>346454.89612691116</v>
      </c>
    </row>
    <row r="50" spans="2:22" collapsed="1" x14ac:dyDescent="0.3"/>
    <row r="51" spans="2:22" ht="13.5" x14ac:dyDescent="0.35">
      <c r="B51" s="9" t="s">
        <v>428</v>
      </c>
      <c r="C51" s="9"/>
      <c r="D51" s="10"/>
      <c r="E51" s="9"/>
      <c r="F51" s="9"/>
      <c r="G51" s="9"/>
      <c r="H51" s="9"/>
      <c r="I51" s="9"/>
      <c r="J51" s="9"/>
      <c r="K51" s="9"/>
      <c r="L51" s="9"/>
      <c r="M51" s="9"/>
      <c r="N51" s="144"/>
      <c r="O51" s="144"/>
      <c r="P51" s="144"/>
      <c r="Q51" s="144"/>
      <c r="R51" s="144"/>
      <c r="S51" s="144"/>
      <c r="T51" s="144"/>
      <c r="U51" s="144"/>
      <c r="V51" s="145"/>
    </row>
    <row r="52" spans="2:22" outlineLevel="1" x14ac:dyDescent="0.3"/>
    <row r="53" spans="2:22" s="30" customFormat="1" ht="13.5" outlineLevel="1" x14ac:dyDescent="0.35">
      <c r="B53" s="31" t="s">
        <v>429</v>
      </c>
      <c r="C53" s="31"/>
      <c r="D53" s="28"/>
      <c r="E53" s="29"/>
      <c r="F53" s="29"/>
      <c r="G53" s="29"/>
      <c r="H53" s="29"/>
      <c r="I53" s="29"/>
      <c r="J53" s="29"/>
      <c r="K53" s="29"/>
      <c r="L53" s="29"/>
      <c r="M53" s="29"/>
      <c r="N53" s="143"/>
      <c r="O53" s="143"/>
      <c r="P53" s="143"/>
      <c r="Q53" s="143"/>
      <c r="R53" s="143"/>
      <c r="S53" s="143"/>
      <c r="T53" s="143"/>
      <c r="U53" s="143"/>
      <c r="V53" s="146"/>
    </row>
    <row r="54" spans="2:22" outlineLevel="1" x14ac:dyDescent="0.3"/>
    <row r="55" spans="2:22" outlineLevel="1" x14ac:dyDescent="0.3">
      <c r="C55" s="8" t="s">
        <v>80</v>
      </c>
      <c r="D55" s="11" t="s">
        <v>430</v>
      </c>
      <c r="E55" s="352">
        <v>136.19167509276386</v>
      </c>
      <c r="F55" s="352">
        <v>135.10576715463714</v>
      </c>
      <c r="G55" s="352">
        <v>133.33767235011169</v>
      </c>
      <c r="H55" s="352">
        <v>135.40023021010438</v>
      </c>
      <c r="I55" s="352">
        <v>135.58528926955751</v>
      </c>
      <c r="J55" s="352">
        <v>136.59845942854324</v>
      </c>
      <c r="K55" s="352">
        <v>135.70045327267459</v>
      </c>
      <c r="L55" s="352">
        <v>134.821642266841</v>
      </c>
      <c r="M55" s="18"/>
      <c r="N55" s="6"/>
      <c r="O55" s="6"/>
      <c r="P55" s="6"/>
      <c r="Q55" s="6"/>
      <c r="R55" s="6"/>
      <c r="S55" s="6"/>
      <c r="T55" s="6"/>
      <c r="U55" s="6"/>
    </row>
    <row r="56" spans="2:22" outlineLevel="1" x14ac:dyDescent="0.3">
      <c r="C56" s="8" t="s">
        <v>82</v>
      </c>
      <c r="D56" s="11" t="s">
        <v>430</v>
      </c>
      <c r="E56" s="352">
        <v>144.33444084278767</v>
      </c>
      <c r="F56" s="352">
        <v>144.6672584290356</v>
      </c>
      <c r="G56" s="352">
        <v>143.8910088556398</v>
      </c>
      <c r="H56" s="352">
        <v>142.61586153341742</v>
      </c>
      <c r="I56" s="352">
        <v>145.22970274317478</v>
      </c>
      <c r="J56" s="352">
        <v>150.97949340615358</v>
      </c>
      <c r="K56" s="352">
        <v>157.33342721582878</v>
      </c>
      <c r="L56" s="352">
        <v>159.67466470701106</v>
      </c>
      <c r="M56" s="18"/>
      <c r="N56" s="6"/>
      <c r="O56" s="6"/>
      <c r="P56" s="6"/>
      <c r="Q56" s="6"/>
      <c r="R56" s="6"/>
      <c r="S56" s="6"/>
      <c r="T56" s="6"/>
      <c r="U56" s="6"/>
    </row>
    <row r="57" spans="2:22" outlineLevel="1" x14ac:dyDescent="0.3">
      <c r="C57" s="8" t="s">
        <v>85</v>
      </c>
      <c r="D57" s="11" t="s">
        <v>430</v>
      </c>
      <c r="E57" s="352">
        <v>135.5031278875602</v>
      </c>
      <c r="F57" s="352">
        <v>132.9139624929941</v>
      </c>
      <c r="G57" s="352">
        <v>129.4240425458367</v>
      </c>
      <c r="H57" s="352">
        <v>134.86242957727964</v>
      </c>
      <c r="I57" s="352">
        <v>136.40477124178662</v>
      </c>
      <c r="J57" s="352">
        <v>136.56748222186556</v>
      </c>
      <c r="K57" s="352">
        <v>141.68737012013418</v>
      </c>
      <c r="L57" s="352">
        <v>141.70814867302039</v>
      </c>
      <c r="M57" s="18"/>
      <c r="N57" s="6"/>
      <c r="O57" s="6"/>
      <c r="P57" s="6"/>
      <c r="Q57" s="6"/>
      <c r="R57" s="6"/>
      <c r="S57" s="6"/>
      <c r="T57" s="6"/>
      <c r="U57" s="6"/>
    </row>
    <row r="58" spans="2:22" outlineLevel="1" x14ac:dyDescent="0.3">
      <c r="C58" s="8" t="s">
        <v>87</v>
      </c>
      <c r="D58" s="11" t="s">
        <v>430</v>
      </c>
      <c r="E58" s="352">
        <v>144.27044443272976</v>
      </c>
      <c r="F58" s="352">
        <v>145.99097172385615</v>
      </c>
      <c r="G58" s="352">
        <v>145.71290305093856</v>
      </c>
      <c r="H58" s="352">
        <v>147.20681779058347</v>
      </c>
      <c r="I58" s="352">
        <v>145.63022838356679</v>
      </c>
      <c r="J58" s="352">
        <v>147.97042237612121</v>
      </c>
      <c r="K58" s="352">
        <v>152.13824624476933</v>
      </c>
      <c r="L58" s="352">
        <v>148.86190071182247</v>
      </c>
      <c r="M58" s="18"/>
      <c r="N58" s="6"/>
      <c r="O58" s="6"/>
      <c r="P58" s="6"/>
      <c r="Q58" s="6"/>
      <c r="R58" s="6"/>
      <c r="S58" s="6"/>
      <c r="T58" s="6"/>
      <c r="U58" s="6"/>
    </row>
    <row r="59" spans="2:22" outlineLevel="1" x14ac:dyDescent="0.3">
      <c r="C59" s="8" t="s">
        <v>89</v>
      </c>
      <c r="D59" s="11" t="s">
        <v>430</v>
      </c>
      <c r="E59" s="352">
        <v>121.03521751433519</v>
      </c>
      <c r="F59" s="352">
        <v>129.0477930618911</v>
      </c>
      <c r="G59" s="352">
        <v>126.38992200819459</v>
      </c>
      <c r="H59" s="352">
        <v>130.37889097844433</v>
      </c>
      <c r="I59" s="352">
        <v>131.66554432657387</v>
      </c>
      <c r="J59" s="352">
        <v>132.93459744065959</v>
      </c>
      <c r="K59" s="352">
        <v>130.97376257439635</v>
      </c>
      <c r="L59" s="352">
        <v>128.52244525764453</v>
      </c>
      <c r="M59" s="18"/>
      <c r="N59" s="6"/>
      <c r="O59" s="6"/>
      <c r="P59" s="6"/>
      <c r="Q59" s="6"/>
      <c r="R59" s="6"/>
      <c r="S59" s="6"/>
      <c r="T59" s="6"/>
      <c r="U59" s="6"/>
    </row>
    <row r="60" spans="2:22" outlineLevel="1" x14ac:dyDescent="0.3">
      <c r="C60" s="8" t="s">
        <v>91</v>
      </c>
      <c r="D60" s="11" t="s">
        <v>430</v>
      </c>
      <c r="E60" s="352">
        <v>138.02021113986385</v>
      </c>
      <c r="F60" s="352">
        <v>139.00887994153712</v>
      </c>
      <c r="G60" s="352">
        <v>134.69046491485614</v>
      </c>
      <c r="H60" s="352">
        <v>136.17567614692561</v>
      </c>
      <c r="I60" s="352">
        <v>137.70817733272165</v>
      </c>
      <c r="J60" s="352">
        <v>141.58555441241018</v>
      </c>
      <c r="K60" s="352">
        <v>156.10599455023325</v>
      </c>
      <c r="L60" s="352">
        <v>152.65384530719879</v>
      </c>
      <c r="M60" s="18"/>
      <c r="N60" s="6"/>
      <c r="O60" s="6"/>
      <c r="P60" s="6"/>
      <c r="Q60" s="6"/>
      <c r="R60" s="6"/>
      <c r="S60" s="6"/>
      <c r="T60" s="6"/>
      <c r="U60" s="6"/>
    </row>
    <row r="61" spans="2:22" outlineLevel="1" x14ac:dyDescent="0.3">
      <c r="C61" s="8" t="s">
        <v>94</v>
      </c>
      <c r="D61" s="11" t="s">
        <v>430</v>
      </c>
      <c r="E61" s="352">
        <v>143.41795162316063</v>
      </c>
      <c r="F61" s="352">
        <v>140.81077550302473</v>
      </c>
      <c r="G61" s="352">
        <v>134.83717214899471</v>
      </c>
      <c r="H61" s="352">
        <v>129.71998671889023</v>
      </c>
      <c r="I61" s="352">
        <v>131.29160843535067</v>
      </c>
      <c r="J61" s="352">
        <v>128.89742242025429</v>
      </c>
      <c r="K61" s="352">
        <v>129.74854584328725</v>
      </c>
      <c r="L61" s="352">
        <v>126.54916491875368</v>
      </c>
      <c r="M61" s="18"/>
      <c r="N61" s="6"/>
      <c r="O61" s="6"/>
      <c r="P61" s="6"/>
      <c r="Q61" s="6"/>
      <c r="R61" s="6"/>
      <c r="S61" s="6"/>
      <c r="T61" s="6"/>
      <c r="U61" s="6"/>
    </row>
    <row r="62" spans="2:22" outlineLevel="1" x14ac:dyDescent="0.3">
      <c r="C62" s="8" t="s">
        <v>96</v>
      </c>
      <c r="D62" s="11" t="s">
        <v>430</v>
      </c>
      <c r="E62" s="352">
        <v>154.70154128330074</v>
      </c>
      <c r="F62" s="352">
        <v>156.19662585851603</v>
      </c>
      <c r="G62" s="352">
        <v>150.65057941017494</v>
      </c>
      <c r="H62" s="352">
        <v>149.01943946521803</v>
      </c>
      <c r="I62" s="352">
        <v>146.380711145845</v>
      </c>
      <c r="J62" s="352">
        <v>144.79100623226273</v>
      </c>
      <c r="K62" s="352">
        <v>145.20993876390412</v>
      </c>
      <c r="L62" s="352">
        <v>144.71587814173526</v>
      </c>
      <c r="M62" s="18"/>
      <c r="N62" s="6"/>
      <c r="O62" s="6"/>
      <c r="P62" s="6"/>
      <c r="Q62" s="6"/>
      <c r="R62" s="6"/>
      <c r="S62" s="6"/>
      <c r="T62" s="6"/>
      <c r="U62" s="6"/>
    </row>
    <row r="63" spans="2:22" outlineLevel="1" x14ac:dyDescent="0.3">
      <c r="C63" s="8" t="s">
        <v>98</v>
      </c>
      <c r="D63" s="11" t="s">
        <v>430</v>
      </c>
      <c r="E63" s="352">
        <v>127.69374387244372</v>
      </c>
      <c r="F63" s="352">
        <v>129.14130865173831</v>
      </c>
      <c r="G63" s="352">
        <v>129.99546369937693</v>
      </c>
      <c r="H63" s="352">
        <v>129.62151261715391</v>
      </c>
      <c r="I63" s="352">
        <v>138.90698507382669</v>
      </c>
      <c r="J63" s="352">
        <v>141.91871508726436</v>
      </c>
      <c r="K63" s="352">
        <v>143.73192189180452</v>
      </c>
      <c r="L63" s="352">
        <v>141.24574168472867</v>
      </c>
      <c r="M63" s="18"/>
      <c r="N63" s="6"/>
      <c r="O63" s="6"/>
      <c r="P63" s="6"/>
      <c r="Q63" s="6"/>
      <c r="R63" s="6"/>
      <c r="S63" s="6"/>
      <c r="T63" s="6"/>
      <c r="U63" s="6"/>
    </row>
    <row r="64" spans="2:22" outlineLevel="1" x14ac:dyDescent="0.3">
      <c r="C64" s="8" t="s">
        <v>100</v>
      </c>
      <c r="D64" s="11" t="s">
        <v>430</v>
      </c>
      <c r="E64" s="352">
        <v>136.36784735309234</v>
      </c>
      <c r="F64" s="352">
        <v>138.48461827915</v>
      </c>
      <c r="G64" s="352">
        <v>138.86755453184671</v>
      </c>
      <c r="H64" s="352">
        <v>138.30489670004283</v>
      </c>
      <c r="I64" s="352">
        <v>141.49072514239816</v>
      </c>
      <c r="J64" s="352">
        <v>143.5891924582638</v>
      </c>
      <c r="K64" s="352">
        <v>147.34805204878782</v>
      </c>
      <c r="L64" s="352">
        <v>145.80733119289394</v>
      </c>
      <c r="M64" s="18"/>
      <c r="N64" s="6"/>
      <c r="O64" s="6"/>
      <c r="P64" s="6"/>
      <c r="Q64" s="6"/>
      <c r="R64" s="6"/>
      <c r="S64" s="6"/>
      <c r="T64" s="6"/>
      <c r="U64" s="6"/>
    </row>
    <row r="65" spans="2:22" outlineLevel="1" x14ac:dyDescent="0.3">
      <c r="C65" s="8" t="s">
        <v>102</v>
      </c>
      <c r="D65" s="11" t="s">
        <v>430</v>
      </c>
      <c r="E65" s="352">
        <v>133.61496340579905</v>
      </c>
      <c r="F65" s="352">
        <v>136.19690856042439</v>
      </c>
      <c r="G65" s="352">
        <v>133.40920152150593</v>
      </c>
      <c r="H65" s="352">
        <v>133.11939627175829</v>
      </c>
      <c r="I65" s="352">
        <v>134.54771599370619</v>
      </c>
      <c r="J65" s="352">
        <v>133.02464593551198</v>
      </c>
      <c r="K65" s="352">
        <v>133.54823134376196</v>
      </c>
      <c r="L65" s="352">
        <v>134.96443658575174</v>
      </c>
      <c r="M65" s="18"/>
      <c r="N65" s="6"/>
      <c r="O65" s="6"/>
      <c r="P65" s="6"/>
      <c r="Q65" s="6"/>
      <c r="R65" s="6"/>
      <c r="S65" s="6"/>
      <c r="T65" s="6"/>
      <c r="U65" s="6"/>
    </row>
    <row r="66" spans="2:22" outlineLevel="1" x14ac:dyDescent="0.3">
      <c r="C66" s="8" t="s">
        <v>104</v>
      </c>
      <c r="D66" s="11" t="s">
        <v>430</v>
      </c>
      <c r="E66" s="352">
        <v>148.38592602250273</v>
      </c>
      <c r="F66" s="352">
        <v>153.61682268934169</v>
      </c>
      <c r="G66" s="352">
        <v>149.54331075594806</v>
      </c>
      <c r="H66" s="352">
        <v>151.48640305790576</v>
      </c>
      <c r="I66" s="352">
        <v>154.74635937206253</v>
      </c>
      <c r="J66" s="352">
        <v>153.06566374138475</v>
      </c>
      <c r="K66" s="352">
        <v>158.80506468755738</v>
      </c>
      <c r="L66" s="352">
        <v>154.97182242087445</v>
      </c>
      <c r="M66" s="18"/>
      <c r="N66" s="6"/>
      <c r="O66" s="6"/>
      <c r="P66" s="6"/>
      <c r="Q66" s="6"/>
      <c r="R66" s="6"/>
      <c r="S66" s="6"/>
      <c r="T66" s="6"/>
      <c r="U66" s="6"/>
    </row>
    <row r="67" spans="2:22" outlineLevel="1" x14ac:dyDescent="0.3">
      <c r="C67" s="8" t="s">
        <v>106</v>
      </c>
      <c r="D67" s="11" t="s">
        <v>430</v>
      </c>
      <c r="E67" s="352">
        <v>140.69089177195767</v>
      </c>
      <c r="F67" s="352">
        <v>144.07819366942599</v>
      </c>
      <c r="G67" s="352">
        <v>143.0719835115309</v>
      </c>
      <c r="H67" s="352">
        <v>141.1335407205963</v>
      </c>
      <c r="I67" s="352">
        <v>144.27891895258693</v>
      </c>
      <c r="J67" s="352">
        <v>146.26313038497628</v>
      </c>
      <c r="K67" s="352">
        <v>150.72682935655575</v>
      </c>
      <c r="L67" s="352">
        <v>146.55214708388806</v>
      </c>
      <c r="M67" s="18"/>
      <c r="N67" s="6"/>
      <c r="O67" s="6"/>
      <c r="P67" s="6"/>
      <c r="Q67" s="6"/>
      <c r="R67" s="6"/>
      <c r="S67" s="6"/>
      <c r="T67" s="6"/>
      <c r="U67" s="6"/>
    </row>
    <row r="68" spans="2:22" outlineLevel="1" x14ac:dyDescent="0.3">
      <c r="C68" s="8" t="s">
        <v>108</v>
      </c>
      <c r="D68" s="11" t="s">
        <v>430</v>
      </c>
      <c r="E68" s="352">
        <v>148.5236210778273</v>
      </c>
      <c r="F68" s="352">
        <v>148.27132801454252</v>
      </c>
      <c r="G68" s="352">
        <v>145.54644969608938</v>
      </c>
      <c r="H68" s="352">
        <v>144.44096787959219</v>
      </c>
      <c r="I68" s="352">
        <v>145.06411671449584</v>
      </c>
      <c r="J68" s="352">
        <v>147.53972950084056</v>
      </c>
      <c r="K68" s="352">
        <v>153.85283474289486</v>
      </c>
      <c r="L68" s="352">
        <v>153.11624205938838</v>
      </c>
      <c r="M68" s="18"/>
      <c r="N68" s="6"/>
      <c r="O68" s="6"/>
      <c r="P68" s="6"/>
      <c r="Q68" s="6"/>
      <c r="R68" s="6"/>
      <c r="S68" s="6"/>
      <c r="T68" s="6"/>
      <c r="U68" s="6"/>
    </row>
    <row r="69" spans="2:22" outlineLevel="1" x14ac:dyDescent="0.3">
      <c r="C69" s="8" t="s">
        <v>112</v>
      </c>
      <c r="D69" s="11" t="s">
        <v>430</v>
      </c>
      <c r="E69" s="352">
        <v>159.16885391857559</v>
      </c>
      <c r="F69" s="352">
        <v>155.55635744694314</v>
      </c>
      <c r="G69" s="352">
        <v>157.50535709433981</v>
      </c>
      <c r="H69" s="352">
        <v>160.98594858327627</v>
      </c>
      <c r="I69" s="352">
        <v>151.35844833724815</v>
      </c>
      <c r="J69" s="352">
        <v>150.13439996230898</v>
      </c>
      <c r="K69" s="352">
        <v>151.83838991981071</v>
      </c>
      <c r="L69" s="352">
        <v>149.50438417543901</v>
      </c>
      <c r="M69" s="18"/>
      <c r="N69" s="6"/>
      <c r="O69" s="6"/>
      <c r="P69" s="6"/>
      <c r="Q69" s="6"/>
      <c r="R69" s="6"/>
      <c r="S69" s="6"/>
      <c r="T69" s="6"/>
      <c r="U69" s="6"/>
    </row>
    <row r="70" spans="2:22" outlineLevel="1" x14ac:dyDescent="0.3">
      <c r="C70" s="8" t="s">
        <v>114</v>
      </c>
      <c r="D70" s="11" t="s">
        <v>430</v>
      </c>
      <c r="E70" s="352">
        <v>129.75412145213679</v>
      </c>
      <c r="F70" s="352">
        <v>131.34664320499309</v>
      </c>
      <c r="G70" s="352">
        <v>129.28882051884449</v>
      </c>
      <c r="H70" s="352">
        <v>129.59305039138334</v>
      </c>
      <c r="I70" s="352">
        <v>129.84805588835923</v>
      </c>
      <c r="J70" s="352">
        <v>133.08878328345324</v>
      </c>
      <c r="K70" s="352">
        <v>136.40704019243358</v>
      </c>
      <c r="L70" s="352">
        <v>128.56773141287647</v>
      </c>
      <c r="M70" s="18"/>
      <c r="N70" s="6"/>
      <c r="O70" s="6"/>
      <c r="P70" s="6"/>
      <c r="Q70" s="6"/>
      <c r="R70" s="6"/>
      <c r="S70" s="6"/>
      <c r="T70" s="6"/>
      <c r="U70" s="6"/>
    </row>
    <row r="71" spans="2:22" outlineLevel="1" x14ac:dyDescent="0.3">
      <c r="C71" s="8" t="s">
        <v>110</v>
      </c>
      <c r="D71" s="11" t="s">
        <v>430</v>
      </c>
      <c r="E71" s="352">
        <v>165.27496575259337</v>
      </c>
      <c r="F71" s="352">
        <v>166.73453033031015</v>
      </c>
      <c r="G71" s="352">
        <v>161.04943896265382</v>
      </c>
      <c r="H71" s="352">
        <v>160.92094891768454</v>
      </c>
      <c r="I71" s="352">
        <v>159.73316019851541</v>
      </c>
      <c r="J71" s="352">
        <v>159.13316893030517</v>
      </c>
      <c r="K71" s="352">
        <v>162.44342327478668</v>
      </c>
      <c r="L71" s="352">
        <v>153.09501907766804</v>
      </c>
      <c r="M71" s="18"/>
      <c r="N71" s="6"/>
      <c r="O71" s="6"/>
      <c r="P71" s="6"/>
      <c r="Q71" s="6"/>
      <c r="R71" s="6"/>
      <c r="S71" s="6"/>
      <c r="T71" s="6"/>
      <c r="U71" s="6"/>
    </row>
    <row r="72" spans="2:22" outlineLevel="1" x14ac:dyDescent="0.3"/>
    <row r="73" spans="2:22" outlineLevel="1" x14ac:dyDescent="0.3">
      <c r="C73" s="12" t="s">
        <v>424</v>
      </c>
      <c r="D73" s="13" t="s">
        <v>430</v>
      </c>
      <c r="E73" s="14">
        <f xml:space="preserve"> SUMPRODUCT( E55:E71, E77:E93 ) / E95</f>
        <v>139.15105068989109</v>
      </c>
      <c r="F73" s="14">
        <f t="shared" ref="F73:L73" si="2" xml:space="preserve"> SUMPRODUCT( F55:F71, F77:F93 ) / F95</f>
        <v>141.38641160546337</v>
      </c>
      <c r="G73" s="14">
        <f t="shared" si="2"/>
        <v>139.07497200330258</v>
      </c>
      <c r="H73" s="14">
        <f t="shared" si="2"/>
        <v>139.59177469309751</v>
      </c>
      <c r="I73" s="14">
        <f t="shared" si="2"/>
        <v>140.74839815234702</v>
      </c>
      <c r="J73" s="14">
        <f t="shared" si="2"/>
        <v>141.52780918312689</v>
      </c>
      <c r="K73" s="14">
        <f t="shared" si="2"/>
        <v>143.43027222872487</v>
      </c>
      <c r="L73" s="14">
        <f t="shared" si="2"/>
        <v>141.63413999483814</v>
      </c>
    </row>
    <row r="74" spans="2:22" outlineLevel="1" x14ac:dyDescent="0.3"/>
    <row r="75" spans="2:22" s="30" customFormat="1" ht="13.5" outlineLevel="1" x14ac:dyDescent="0.35">
      <c r="B75" s="31" t="s">
        <v>431</v>
      </c>
      <c r="C75" s="31"/>
      <c r="D75" s="28"/>
      <c r="E75" s="29"/>
      <c r="F75" s="29"/>
      <c r="G75" s="29"/>
      <c r="H75" s="29"/>
      <c r="I75" s="29"/>
      <c r="J75" s="29"/>
      <c r="K75" s="29"/>
      <c r="L75" s="29"/>
      <c r="M75" s="29"/>
      <c r="N75" s="143"/>
      <c r="O75" s="143"/>
      <c r="P75" s="143"/>
      <c r="Q75" s="143"/>
      <c r="R75" s="143"/>
      <c r="S75" s="143"/>
      <c r="T75" s="143"/>
      <c r="U75" s="143"/>
      <c r="V75" s="146"/>
    </row>
    <row r="76" spans="2:22" outlineLevel="1" x14ac:dyDescent="0.3"/>
    <row r="77" spans="2:22" outlineLevel="1" x14ac:dyDescent="0.3">
      <c r="C77" s="8" t="s">
        <v>80</v>
      </c>
      <c r="D77" s="11" t="s">
        <v>129</v>
      </c>
      <c r="E77" s="359">
        <v>4341.67</v>
      </c>
      <c r="F77" s="359">
        <v>4467.9889999999996</v>
      </c>
      <c r="G77" s="359">
        <v>4490.2929999999997</v>
      </c>
      <c r="H77" s="359">
        <v>4485.2939999999999</v>
      </c>
      <c r="I77" s="359">
        <v>4519.0111336944838</v>
      </c>
      <c r="J77" s="359">
        <v>4542.473</v>
      </c>
      <c r="K77" s="359">
        <v>4651.9169555497101</v>
      </c>
      <c r="L77" s="359">
        <v>4699.2625583441868</v>
      </c>
      <c r="M77" s="18"/>
      <c r="N77" s="6"/>
      <c r="O77" s="6"/>
      <c r="P77" s="6"/>
      <c r="Q77" s="6"/>
      <c r="R77" s="6"/>
      <c r="S77" s="6"/>
      <c r="T77" s="6"/>
      <c r="U77" s="6"/>
    </row>
    <row r="78" spans="2:22" outlineLevel="1" x14ac:dyDescent="0.3">
      <c r="C78" s="8" t="s">
        <v>82</v>
      </c>
      <c r="D78" s="11" t="s">
        <v>129</v>
      </c>
      <c r="E78" s="359">
        <v>2902.3679999999999</v>
      </c>
      <c r="F78" s="359">
        <v>2899.5309999999999</v>
      </c>
      <c r="G78" s="359">
        <v>2915.7689999999998</v>
      </c>
      <c r="H78" s="359">
        <v>2921.9180000000001</v>
      </c>
      <c r="I78" s="359">
        <v>2932.9520000000002</v>
      </c>
      <c r="J78" s="359">
        <v>2938.194</v>
      </c>
      <c r="K78" s="359">
        <v>2942.0819999999999</v>
      </c>
      <c r="L78" s="359">
        <v>2986.239</v>
      </c>
      <c r="M78" s="18"/>
      <c r="N78" s="6"/>
      <c r="O78" s="6"/>
      <c r="P78" s="6"/>
      <c r="Q78" s="6"/>
      <c r="R78" s="6"/>
      <c r="S78" s="6"/>
      <c r="T78" s="6"/>
      <c r="U78" s="6"/>
    </row>
    <row r="79" spans="2:22" outlineLevel="1" x14ac:dyDescent="0.3">
      <c r="C79" s="8" t="s">
        <v>85</v>
      </c>
      <c r="D79" s="11" t="s">
        <v>129</v>
      </c>
      <c r="E79" s="359">
        <v>250.35835240278502</v>
      </c>
      <c r="F79" s="359">
        <v>260.5779823479287</v>
      </c>
      <c r="G79" s="359">
        <v>261.41618686491495</v>
      </c>
      <c r="H79" s="359">
        <v>261.36726596776072</v>
      </c>
      <c r="I79" s="359">
        <v>259.4769675</v>
      </c>
      <c r="J79" s="359">
        <v>261.01866999999999</v>
      </c>
      <c r="K79" s="359">
        <v>216.2234828312653</v>
      </c>
      <c r="L79" s="359">
        <v>208.88321065361171</v>
      </c>
      <c r="M79" s="18"/>
      <c r="N79" s="6"/>
      <c r="O79" s="6"/>
      <c r="P79" s="6"/>
      <c r="Q79" s="6"/>
      <c r="R79" s="6"/>
      <c r="S79" s="6"/>
      <c r="T79" s="6"/>
      <c r="U79" s="6"/>
    </row>
    <row r="80" spans="2:22" outlineLevel="1" x14ac:dyDescent="0.3">
      <c r="C80" s="8" t="s">
        <v>87</v>
      </c>
      <c r="D80" s="11" t="s">
        <v>129</v>
      </c>
      <c r="E80" s="359">
        <v>4307.485602167736</v>
      </c>
      <c r="F80" s="359">
        <v>4322.8073827414682</v>
      </c>
      <c r="G80" s="359">
        <v>4337.2872988971303</v>
      </c>
      <c r="H80" s="359">
        <v>4351.3459197076108</v>
      </c>
      <c r="I80" s="359">
        <v>4364.653278608881</v>
      </c>
      <c r="J80" s="359">
        <v>4464.0018651658793</v>
      </c>
      <c r="K80" s="359">
        <v>4491.1866618570148</v>
      </c>
      <c r="L80" s="359">
        <v>4525.0510830347448</v>
      </c>
      <c r="M80" s="18"/>
      <c r="N80" s="6"/>
      <c r="O80" s="6"/>
      <c r="P80" s="6"/>
      <c r="Q80" s="6"/>
      <c r="R80" s="6"/>
      <c r="S80" s="6"/>
      <c r="T80" s="6"/>
      <c r="U80" s="6"/>
    </row>
    <row r="81" spans="3:21" outlineLevel="1" x14ac:dyDescent="0.3">
      <c r="C81" s="8" t="s">
        <v>89</v>
      </c>
      <c r="D81" s="11" t="s">
        <v>129</v>
      </c>
      <c r="E81" s="359">
        <v>7795.8539999999994</v>
      </c>
      <c r="F81" s="359">
        <v>7556.2813064295224</v>
      </c>
      <c r="G81" s="359">
        <v>7546.0839662716262</v>
      </c>
      <c r="H81" s="359">
        <v>7584.8762006866782</v>
      </c>
      <c r="I81" s="359">
        <v>7623.3626331072392</v>
      </c>
      <c r="J81" s="359">
        <v>7704.1229096191364</v>
      </c>
      <c r="K81" s="359">
        <v>8258.0778302146937</v>
      </c>
      <c r="L81" s="359">
        <v>8298.185043942558</v>
      </c>
      <c r="M81" s="18"/>
      <c r="N81" s="6"/>
      <c r="O81" s="6"/>
      <c r="P81" s="6"/>
      <c r="Q81" s="6"/>
      <c r="R81" s="6"/>
      <c r="S81" s="6"/>
      <c r="T81" s="6"/>
      <c r="U81" s="6"/>
    </row>
    <row r="82" spans="3:21" outlineLevel="1" x14ac:dyDescent="0.3">
      <c r="C82" s="8" t="s">
        <v>91</v>
      </c>
      <c r="D82" s="11" t="s">
        <v>129</v>
      </c>
      <c r="E82" s="359">
        <v>1990.15</v>
      </c>
      <c r="F82" s="359">
        <v>2004.69</v>
      </c>
      <c r="G82" s="359">
        <v>2043.6</v>
      </c>
      <c r="H82" s="359">
        <v>2081.87</v>
      </c>
      <c r="I82" s="359">
        <v>2092.62</v>
      </c>
      <c r="J82" s="359">
        <v>2118.91</v>
      </c>
      <c r="K82" s="359">
        <v>2127.2600000000002</v>
      </c>
      <c r="L82" s="359">
        <v>2169.9700000000003</v>
      </c>
      <c r="M82" s="18"/>
      <c r="N82" s="6"/>
      <c r="O82" s="6"/>
      <c r="P82" s="6"/>
      <c r="Q82" s="6"/>
      <c r="R82" s="6"/>
      <c r="S82" s="6"/>
      <c r="T82" s="6"/>
      <c r="U82" s="6"/>
    </row>
    <row r="83" spans="3:21" outlineLevel="1" x14ac:dyDescent="0.3">
      <c r="C83" s="8" t="s">
        <v>94</v>
      </c>
      <c r="D83" s="11" t="s">
        <v>129</v>
      </c>
      <c r="E83" s="359">
        <v>2329.8173110444486</v>
      </c>
      <c r="F83" s="359">
        <v>2387.8050000000003</v>
      </c>
      <c r="G83" s="359">
        <v>2406.8044326814497</v>
      </c>
      <c r="H83" s="359">
        <v>2424.4354007585571</v>
      </c>
      <c r="I83" s="359">
        <v>2442.6343777767606</v>
      </c>
      <c r="J83" s="359">
        <v>2475.8329799999997</v>
      </c>
      <c r="K83" s="359">
        <v>2497.5532426517457</v>
      </c>
      <c r="L83" s="359">
        <v>2520.0267052599997</v>
      </c>
      <c r="M83" s="18"/>
      <c r="N83" s="6"/>
      <c r="O83" s="6"/>
      <c r="P83" s="6"/>
      <c r="Q83" s="6"/>
      <c r="R83" s="6"/>
      <c r="S83" s="6"/>
      <c r="T83" s="6"/>
      <c r="U83" s="6"/>
    </row>
    <row r="84" spans="3:21" outlineLevel="1" x14ac:dyDescent="0.3">
      <c r="C84" s="8" t="s">
        <v>96</v>
      </c>
      <c r="D84" s="11" t="s">
        <v>129</v>
      </c>
      <c r="E84" s="359">
        <v>8717.4110000000001</v>
      </c>
      <c r="F84" s="359">
        <v>8813.027</v>
      </c>
      <c r="G84" s="359">
        <v>9102.36</v>
      </c>
      <c r="H84" s="359">
        <v>9404.223</v>
      </c>
      <c r="I84" s="359">
        <v>9779.1149999999998</v>
      </c>
      <c r="J84" s="359">
        <v>9908.9839050142</v>
      </c>
      <c r="K84" s="359">
        <v>9908.7662568682899</v>
      </c>
      <c r="L84" s="359">
        <v>10008.49056978017</v>
      </c>
      <c r="M84" s="18"/>
      <c r="N84" s="6"/>
      <c r="O84" s="6"/>
      <c r="P84" s="6"/>
      <c r="Q84" s="6"/>
      <c r="R84" s="6"/>
      <c r="S84" s="6"/>
      <c r="T84" s="6"/>
      <c r="U84" s="6"/>
    </row>
    <row r="85" spans="3:21" outlineLevel="1" x14ac:dyDescent="0.3">
      <c r="C85" s="8" t="s">
        <v>98</v>
      </c>
      <c r="D85" s="11" t="s">
        <v>129</v>
      </c>
      <c r="E85" s="359">
        <v>6727.993726911016</v>
      </c>
      <c r="F85" s="359">
        <v>6726.3551419524192</v>
      </c>
      <c r="G85" s="359">
        <v>6716.5461846579256</v>
      </c>
      <c r="H85" s="359">
        <v>6734.4553595322377</v>
      </c>
      <c r="I85" s="359">
        <v>6363.212927832501</v>
      </c>
      <c r="J85" s="359">
        <v>6345.8449112092094</v>
      </c>
      <c r="K85" s="359">
        <v>6382.1167914604302</v>
      </c>
      <c r="L85" s="359">
        <v>6442.1687677392074</v>
      </c>
      <c r="M85" s="18"/>
      <c r="N85" s="6"/>
      <c r="O85" s="6"/>
      <c r="P85" s="6"/>
      <c r="Q85" s="6"/>
      <c r="R85" s="6"/>
      <c r="S85" s="6"/>
      <c r="T85" s="6"/>
      <c r="U85" s="6"/>
    </row>
    <row r="86" spans="3:21" outlineLevel="1" x14ac:dyDescent="0.3">
      <c r="C86" s="8" t="s">
        <v>100</v>
      </c>
      <c r="D86" s="11" t="s">
        <v>129</v>
      </c>
      <c r="E86" s="359">
        <v>1260.7919999999999</v>
      </c>
      <c r="F86" s="359">
        <v>1267.6410000000001</v>
      </c>
      <c r="G86" s="359">
        <v>1274.6680000000001</v>
      </c>
      <c r="H86" s="359">
        <v>1297.5320000000002</v>
      </c>
      <c r="I86" s="359">
        <v>1304.7919999999999</v>
      </c>
      <c r="J86" s="359">
        <v>1314.8103227398301</v>
      </c>
      <c r="K86" s="359">
        <v>1327.6262618937374</v>
      </c>
      <c r="L86" s="359">
        <v>1335.1302897680011</v>
      </c>
      <c r="M86" s="18"/>
      <c r="N86" s="6"/>
      <c r="O86" s="6"/>
      <c r="P86" s="6"/>
      <c r="Q86" s="6"/>
      <c r="R86" s="6"/>
      <c r="S86" s="6"/>
      <c r="T86" s="6"/>
      <c r="U86" s="6"/>
    </row>
    <row r="87" spans="3:21" outlineLevel="1" x14ac:dyDescent="0.3">
      <c r="C87" s="8" t="s">
        <v>102</v>
      </c>
      <c r="D87" s="11" t="s">
        <v>129</v>
      </c>
      <c r="E87" s="359">
        <v>4833.826</v>
      </c>
      <c r="F87" s="359">
        <v>4851.1379999999999</v>
      </c>
      <c r="G87" s="359">
        <v>4869.9120000000003</v>
      </c>
      <c r="H87" s="359">
        <v>4882.6769999999997</v>
      </c>
      <c r="I87" s="359">
        <v>4920.3980000000001</v>
      </c>
      <c r="J87" s="359">
        <v>4948.2370000000001</v>
      </c>
      <c r="K87" s="359">
        <v>4960.8340000000007</v>
      </c>
      <c r="L87" s="359">
        <v>4973.8270000000002</v>
      </c>
      <c r="M87" s="18"/>
      <c r="N87" s="6"/>
      <c r="O87" s="6"/>
      <c r="P87" s="6"/>
      <c r="Q87" s="6"/>
      <c r="R87" s="6"/>
      <c r="S87" s="6"/>
      <c r="T87" s="6"/>
      <c r="U87" s="6"/>
    </row>
    <row r="88" spans="3:21" outlineLevel="1" x14ac:dyDescent="0.3">
      <c r="C88" s="8" t="s">
        <v>104</v>
      </c>
      <c r="D88" s="11" t="s">
        <v>129</v>
      </c>
      <c r="E88" s="359">
        <v>3428.4749999999999</v>
      </c>
      <c r="F88" s="359">
        <v>3534.9989999999993</v>
      </c>
      <c r="G88" s="359">
        <v>3575.2589999999996</v>
      </c>
      <c r="H88" s="359">
        <v>3569.6600748698193</v>
      </c>
      <c r="I88" s="359">
        <v>3561.0569680374838</v>
      </c>
      <c r="J88" s="359">
        <v>3665.470962548306</v>
      </c>
      <c r="K88" s="359">
        <v>3557.0209999999997</v>
      </c>
      <c r="L88" s="359">
        <v>3726.6087306949407</v>
      </c>
      <c r="M88" s="18"/>
      <c r="N88" s="6"/>
      <c r="O88" s="6"/>
      <c r="P88" s="6"/>
      <c r="Q88" s="6"/>
      <c r="R88" s="6"/>
      <c r="S88" s="6"/>
      <c r="T88" s="6"/>
      <c r="U88" s="6"/>
    </row>
    <row r="89" spans="3:21" outlineLevel="1" x14ac:dyDescent="0.3">
      <c r="C89" s="8" t="s">
        <v>106</v>
      </c>
      <c r="D89" s="11" t="s">
        <v>129</v>
      </c>
      <c r="E89" s="359">
        <v>1091.8150000000001</v>
      </c>
      <c r="F89" s="359">
        <v>1100.153</v>
      </c>
      <c r="G89" s="359">
        <v>1107.1980000000001</v>
      </c>
      <c r="H89" s="359">
        <v>1119.3229999999999</v>
      </c>
      <c r="I89" s="359">
        <v>1147.933</v>
      </c>
      <c r="J89" s="359">
        <v>1148.798</v>
      </c>
      <c r="K89" s="359">
        <v>1157.847</v>
      </c>
      <c r="L89" s="359">
        <v>1168.748</v>
      </c>
      <c r="M89" s="18"/>
      <c r="N89" s="6"/>
      <c r="O89" s="6"/>
      <c r="P89" s="6"/>
      <c r="Q89" s="6"/>
      <c r="R89" s="6"/>
      <c r="S89" s="6"/>
      <c r="T89" s="6"/>
      <c r="U89" s="6"/>
    </row>
    <row r="90" spans="3:21" outlineLevel="1" x14ac:dyDescent="0.3">
      <c r="C90" s="8" t="s">
        <v>108</v>
      </c>
      <c r="D90" s="11" t="s">
        <v>129</v>
      </c>
      <c r="E90" s="359">
        <v>675.13599999999997</v>
      </c>
      <c r="F90" s="359">
        <v>693.14</v>
      </c>
      <c r="G90" s="359">
        <v>698.06700000000001</v>
      </c>
      <c r="H90" s="359">
        <v>703.01100000000008</v>
      </c>
      <c r="I90" s="359">
        <v>707.72700000000009</v>
      </c>
      <c r="J90" s="359">
        <v>712.01700000000005</v>
      </c>
      <c r="K90" s="359">
        <v>716.42658336905197</v>
      </c>
      <c r="L90" s="359">
        <v>731.05200000000002</v>
      </c>
      <c r="M90" s="18"/>
      <c r="N90" s="6"/>
      <c r="O90" s="6"/>
      <c r="P90" s="6"/>
      <c r="Q90" s="6"/>
      <c r="R90" s="6"/>
      <c r="S90" s="6"/>
      <c r="T90" s="6"/>
      <c r="U90" s="6"/>
    </row>
    <row r="91" spans="3:21" outlineLevel="1" x14ac:dyDescent="0.3">
      <c r="C91" s="8" t="s">
        <v>112</v>
      </c>
      <c r="D91" s="11" t="s">
        <v>129</v>
      </c>
      <c r="E91" s="359">
        <v>2010.6996536981521</v>
      </c>
      <c r="F91" s="359">
        <v>2063.084671061124</v>
      </c>
      <c r="G91" s="359">
        <v>2079.6885335812485</v>
      </c>
      <c r="H91" s="359">
        <v>2096.7502325967371</v>
      </c>
      <c r="I91" s="359">
        <v>2145.7734168678044</v>
      </c>
      <c r="J91" s="359">
        <v>2167.9206038546381</v>
      </c>
      <c r="K91" s="359">
        <v>2191.9</v>
      </c>
      <c r="L91" s="359">
        <v>2214.9989240740433</v>
      </c>
      <c r="M91" s="18"/>
      <c r="N91" s="6"/>
      <c r="O91" s="6"/>
      <c r="P91" s="6"/>
      <c r="Q91" s="6"/>
      <c r="R91" s="6"/>
      <c r="S91" s="6"/>
      <c r="T91" s="6"/>
      <c r="U91" s="6"/>
    </row>
    <row r="92" spans="3:21" outlineLevel="1" x14ac:dyDescent="0.3">
      <c r="C92" s="8" t="s">
        <v>114</v>
      </c>
      <c r="D92" s="11" t="s">
        <v>129</v>
      </c>
      <c r="E92" s="359">
        <v>1565.5549999999998</v>
      </c>
      <c r="F92" s="359">
        <v>1588.1220000000001</v>
      </c>
      <c r="G92" s="359">
        <v>1600.441</v>
      </c>
      <c r="H92" s="359">
        <v>1609.164</v>
      </c>
      <c r="I92" s="359">
        <v>1618.405</v>
      </c>
      <c r="J92" s="359">
        <v>1640.2669999999998</v>
      </c>
      <c r="K92" s="359">
        <v>1664.99</v>
      </c>
      <c r="L92" s="359">
        <v>1685.71</v>
      </c>
      <c r="M92" s="18"/>
      <c r="N92" s="6"/>
      <c r="O92" s="6"/>
      <c r="P92" s="6"/>
      <c r="Q92" s="6"/>
      <c r="R92" s="6"/>
      <c r="S92" s="6"/>
      <c r="T92" s="6"/>
      <c r="U92" s="6"/>
    </row>
    <row r="93" spans="3:21" outlineLevel="1" x14ac:dyDescent="0.3">
      <c r="C93" s="8" t="s">
        <v>110</v>
      </c>
      <c r="D93" s="11" t="s">
        <v>129</v>
      </c>
      <c r="E93" s="359">
        <v>642.67640000000006</v>
      </c>
      <c r="F93" s="359">
        <v>657.43970000000002</v>
      </c>
      <c r="G93" s="359">
        <v>672.17272424660814</v>
      </c>
      <c r="H93" s="359">
        <v>674.29108374132181</v>
      </c>
      <c r="I93" s="359">
        <v>674.79852642443427</v>
      </c>
      <c r="J93" s="359">
        <v>694.58356932151537</v>
      </c>
      <c r="K93" s="359">
        <v>700.43820030486677</v>
      </c>
      <c r="L93" s="359">
        <v>727.03434244285791</v>
      </c>
      <c r="M93" s="18"/>
      <c r="N93" s="6"/>
      <c r="O93" s="6"/>
      <c r="P93" s="6"/>
      <c r="Q93" s="6"/>
      <c r="R93" s="6"/>
      <c r="S93" s="6"/>
      <c r="T93" s="6"/>
      <c r="U93" s="6"/>
    </row>
    <row r="94" spans="3:21" outlineLevel="1" x14ac:dyDescent="0.3"/>
    <row r="95" spans="3:21" outlineLevel="1" x14ac:dyDescent="0.3">
      <c r="C95" s="12" t="s">
        <v>424</v>
      </c>
      <c r="D95" s="13" t="s">
        <v>129</v>
      </c>
      <c r="E95" s="15">
        <f>SUM(E77:E93)</f>
        <v>54872.083046224136</v>
      </c>
      <c r="F95" s="15">
        <f t="shared" ref="F95:L95" si="3">SUM(F77:F93)</f>
        <v>55194.781184532461</v>
      </c>
      <c r="G95" s="15">
        <f t="shared" si="3"/>
        <v>55697.566327200897</v>
      </c>
      <c r="H95" s="15">
        <f t="shared" si="3"/>
        <v>56202.193537860709</v>
      </c>
      <c r="I95" s="15">
        <f t="shared" si="3"/>
        <v>56457.922229849588</v>
      </c>
      <c r="J95" s="15">
        <f t="shared" si="3"/>
        <v>57051.48669947272</v>
      </c>
      <c r="K95" s="15">
        <f t="shared" si="3"/>
        <v>57752.266267000814</v>
      </c>
      <c r="L95" s="15">
        <f t="shared" si="3"/>
        <v>58421.386225734321</v>
      </c>
    </row>
    <row r="97" spans="2:22" ht="13.5" x14ac:dyDescent="0.35">
      <c r="B97" s="9" t="s">
        <v>224</v>
      </c>
      <c r="C97" s="9"/>
      <c r="D97" s="10"/>
      <c r="E97" s="9"/>
      <c r="F97" s="9"/>
      <c r="G97" s="9"/>
      <c r="H97" s="9"/>
      <c r="I97" s="9"/>
      <c r="J97" s="9"/>
      <c r="K97" s="9"/>
      <c r="L97" s="9"/>
      <c r="M97" s="9"/>
      <c r="N97" s="144"/>
      <c r="O97" s="144"/>
      <c r="P97" s="144"/>
      <c r="Q97" s="144"/>
      <c r="R97" s="144"/>
      <c r="S97" s="144"/>
      <c r="T97" s="144"/>
      <c r="U97" s="144"/>
      <c r="V97" s="145"/>
    </row>
    <row r="98" spans="2:22" outlineLevel="1" x14ac:dyDescent="0.3"/>
    <row r="99" spans="2:22" s="30" customFormat="1" ht="13.5" outlineLevel="1" x14ac:dyDescent="0.35">
      <c r="B99" s="31" t="s">
        <v>432</v>
      </c>
      <c r="C99" s="31"/>
      <c r="D99" s="28"/>
      <c r="E99" s="29"/>
      <c r="F99" s="29"/>
      <c r="G99" s="29"/>
      <c r="H99" s="29"/>
      <c r="I99" s="29"/>
      <c r="J99" s="29"/>
      <c r="K99" s="29"/>
      <c r="L99" s="29"/>
      <c r="M99" s="29"/>
      <c r="N99" s="147" t="s">
        <v>433</v>
      </c>
      <c r="O99" s="148"/>
      <c r="P99" s="148"/>
      <c r="Q99" s="149" t="s">
        <v>172</v>
      </c>
      <c r="R99" s="278" t="s">
        <v>173</v>
      </c>
      <c r="S99" s="149" t="s">
        <v>174</v>
      </c>
      <c r="T99" s="143"/>
      <c r="U99" s="143"/>
      <c r="V99" s="146"/>
    </row>
    <row r="100" spans="2:22" outlineLevel="1" x14ac:dyDescent="0.3"/>
    <row r="101" spans="2:22" outlineLevel="1" x14ac:dyDescent="0.3">
      <c r="C101" s="8" t="s">
        <v>80</v>
      </c>
      <c r="D101" s="11" t="s">
        <v>139</v>
      </c>
      <c r="E101" s="352">
        <v>13.8</v>
      </c>
      <c r="F101" s="352">
        <v>19.8</v>
      </c>
      <c r="G101" s="352">
        <v>19.170000000000002</v>
      </c>
      <c r="H101" s="352">
        <v>8.1999999999999993</v>
      </c>
      <c r="I101" s="352">
        <v>11.72</v>
      </c>
      <c r="J101" s="352">
        <v>7.4</v>
      </c>
      <c r="K101" s="352">
        <v>8.73</v>
      </c>
      <c r="L101" s="352">
        <v>18.649999999999999</v>
      </c>
      <c r="M101" s="18"/>
      <c r="N101" s="150" t="s">
        <v>434</v>
      </c>
    </row>
    <row r="102" spans="2:22" outlineLevel="1" x14ac:dyDescent="0.3">
      <c r="C102" s="8" t="s">
        <v>82</v>
      </c>
      <c r="D102" s="11" t="s">
        <v>139</v>
      </c>
      <c r="E102" s="352">
        <v>53</v>
      </c>
      <c r="F102" s="352">
        <v>50.6</v>
      </c>
      <c r="G102" s="352">
        <v>23</v>
      </c>
      <c r="H102" s="352">
        <v>21.7</v>
      </c>
      <c r="I102" s="352">
        <v>12.15</v>
      </c>
      <c r="J102" s="352">
        <v>43.3</v>
      </c>
      <c r="K102" s="352">
        <v>16</v>
      </c>
      <c r="L102" s="352">
        <v>14.7</v>
      </c>
      <c r="M102" s="18"/>
      <c r="N102" s="6" t="s">
        <v>435</v>
      </c>
      <c r="O102" s="6"/>
      <c r="P102" s="6"/>
    </row>
    <row r="103" spans="2:22" outlineLevel="1" x14ac:dyDescent="0.3">
      <c r="C103" s="8" t="s">
        <v>85</v>
      </c>
      <c r="D103" s="11" t="s">
        <v>139</v>
      </c>
      <c r="E103" s="352">
        <v>15.600000000000001</v>
      </c>
      <c r="F103" s="352">
        <v>9</v>
      </c>
      <c r="G103" s="352">
        <v>10.200000000000001</v>
      </c>
      <c r="H103" s="352">
        <v>5.22</v>
      </c>
      <c r="I103" s="352">
        <v>21</v>
      </c>
      <c r="J103" s="352">
        <v>4.1666667000000004</v>
      </c>
      <c r="K103" s="352">
        <v>29.166666666666668</v>
      </c>
      <c r="L103" s="352">
        <v>16.89</v>
      </c>
      <c r="M103" s="18"/>
      <c r="N103" s="6" t="s">
        <v>436</v>
      </c>
      <c r="O103" s="6"/>
      <c r="P103" s="6"/>
    </row>
    <row r="104" spans="2:22" outlineLevel="1" x14ac:dyDescent="0.3">
      <c r="C104" s="8" t="s">
        <v>87</v>
      </c>
      <c r="D104" s="11" t="s">
        <v>139</v>
      </c>
      <c r="E104" s="352">
        <v>6.95</v>
      </c>
      <c r="F104" s="352">
        <v>4.93</v>
      </c>
      <c r="G104" s="352">
        <v>3.9333333333333362</v>
      </c>
      <c r="H104" s="352">
        <v>3.3333333333333335</v>
      </c>
      <c r="I104" s="352">
        <v>2.4333333333333336</v>
      </c>
      <c r="J104" s="352">
        <v>5.3833333333333346</v>
      </c>
      <c r="K104" s="352">
        <v>9.1999999999999993</v>
      </c>
      <c r="L104" s="352">
        <v>6.1333333333333346</v>
      </c>
      <c r="M104" s="18"/>
      <c r="N104" s="6" t="s">
        <v>437</v>
      </c>
      <c r="O104" s="6"/>
      <c r="P104" s="6"/>
    </row>
    <row r="105" spans="2:22" outlineLevel="1" x14ac:dyDescent="0.3">
      <c r="C105" s="8" t="s">
        <v>89</v>
      </c>
      <c r="D105" s="11" t="s">
        <v>139</v>
      </c>
      <c r="E105" s="352">
        <v>28.799999999999997</v>
      </c>
      <c r="F105" s="352">
        <v>15.600000000000001</v>
      </c>
      <c r="G105" s="352">
        <v>10.00000000000002</v>
      </c>
      <c r="H105" s="352">
        <v>11.17</v>
      </c>
      <c r="I105" s="352">
        <v>10.130000000000001</v>
      </c>
      <c r="J105" s="352">
        <v>34.283333333333331</v>
      </c>
      <c r="K105" s="352">
        <v>18.883333333333333</v>
      </c>
      <c r="L105" s="352">
        <v>7.25</v>
      </c>
      <c r="M105" s="18"/>
      <c r="N105" s="6" t="s">
        <v>438</v>
      </c>
      <c r="O105" s="6"/>
      <c r="P105" s="6"/>
    </row>
    <row r="106" spans="2:22" outlineLevel="1" x14ac:dyDescent="0.3">
      <c r="C106" s="8" t="s">
        <v>91</v>
      </c>
      <c r="D106" s="11" t="s">
        <v>139</v>
      </c>
      <c r="E106" s="352">
        <v>13.775960619585723</v>
      </c>
      <c r="F106" s="352">
        <v>12.316693754029476</v>
      </c>
      <c r="G106" s="352">
        <v>18.663164303696963</v>
      </c>
      <c r="H106" s="352">
        <v>20.579533772547329</v>
      </c>
      <c r="I106" s="352">
        <v>10.998082859149507</v>
      </c>
      <c r="J106" s="352">
        <v>26.272543184342567</v>
      </c>
      <c r="K106" s="352">
        <v>7.8795756149407836</v>
      </c>
      <c r="L106" s="352">
        <v>9.7826519763273545</v>
      </c>
      <c r="M106" s="18"/>
      <c r="N106" s="6" t="s">
        <v>439</v>
      </c>
      <c r="O106" s="6"/>
      <c r="P106" s="6"/>
      <c r="R106" s="6"/>
      <c r="S106" s="6"/>
      <c r="T106" s="6"/>
      <c r="U106" s="6"/>
    </row>
    <row r="107" spans="2:22" outlineLevel="1" x14ac:dyDescent="0.3">
      <c r="C107" s="8" t="s">
        <v>94</v>
      </c>
      <c r="D107" s="11" t="s">
        <v>139</v>
      </c>
      <c r="E107" s="352">
        <v>18</v>
      </c>
      <c r="F107" s="352">
        <v>10.799999999999999</v>
      </c>
      <c r="G107" s="352">
        <v>6</v>
      </c>
      <c r="H107" s="352">
        <v>12</v>
      </c>
      <c r="I107" s="352">
        <v>7</v>
      </c>
      <c r="J107" s="352">
        <v>16.77</v>
      </c>
      <c r="K107" s="352">
        <v>7.38</v>
      </c>
      <c r="L107" s="352">
        <v>11.27</v>
      </c>
      <c r="M107" s="18"/>
      <c r="N107" s="6" t="s">
        <v>440</v>
      </c>
      <c r="O107" s="6"/>
      <c r="P107" s="6"/>
      <c r="R107" s="6"/>
      <c r="S107" s="6"/>
      <c r="T107" s="6"/>
      <c r="U107" s="6"/>
    </row>
    <row r="108" spans="2:22" outlineLevel="1" x14ac:dyDescent="0.3">
      <c r="C108" s="8" t="s">
        <v>96</v>
      </c>
      <c r="D108" s="11" t="s">
        <v>139</v>
      </c>
      <c r="E108" s="352">
        <v>13.44</v>
      </c>
      <c r="F108" s="352">
        <v>11.76</v>
      </c>
      <c r="G108" s="352">
        <v>11.1</v>
      </c>
      <c r="H108" s="352">
        <v>15.54</v>
      </c>
      <c r="I108" s="352">
        <v>10.666666666666666</v>
      </c>
      <c r="J108" s="352">
        <v>28.9</v>
      </c>
      <c r="K108" s="352">
        <v>22.049999999999997</v>
      </c>
      <c r="L108" s="352">
        <v>22.049999999999997</v>
      </c>
      <c r="M108" s="18"/>
      <c r="N108" s="6" t="s">
        <v>441</v>
      </c>
      <c r="O108" s="6"/>
      <c r="P108" s="6"/>
      <c r="Q108" s="6"/>
      <c r="R108" s="6"/>
      <c r="S108" s="6"/>
      <c r="T108" s="6"/>
      <c r="U108" s="6"/>
    </row>
    <row r="109" spans="2:22" outlineLevel="1" x14ac:dyDescent="0.3">
      <c r="C109" s="8" t="s">
        <v>98</v>
      </c>
      <c r="D109" s="11" t="s">
        <v>139</v>
      </c>
      <c r="E109" s="352">
        <v>17.916666666666668</v>
      </c>
      <c r="F109" s="352">
        <v>9.85</v>
      </c>
      <c r="G109" s="352">
        <v>13.416666666666666</v>
      </c>
      <c r="H109" s="352">
        <v>16.7</v>
      </c>
      <c r="I109" s="352">
        <v>13.550000000000002</v>
      </c>
      <c r="J109" s="352">
        <v>13.149999999999999</v>
      </c>
      <c r="K109" s="352">
        <v>9.1666666666666661</v>
      </c>
      <c r="L109" s="352">
        <v>10.183333333333334</v>
      </c>
      <c r="M109" s="18"/>
      <c r="N109" s="151" t="s">
        <v>442</v>
      </c>
      <c r="O109" s="6" t="s">
        <v>443</v>
      </c>
      <c r="P109" s="6"/>
      <c r="Q109" s="6"/>
      <c r="R109" s="6"/>
      <c r="S109" s="6"/>
      <c r="T109" s="6"/>
      <c r="U109" s="6"/>
    </row>
    <row r="110" spans="2:22" outlineLevel="1" x14ac:dyDescent="0.3">
      <c r="C110" s="8" t="s">
        <v>100</v>
      </c>
      <c r="D110" s="11" t="s">
        <v>139</v>
      </c>
      <c r="E110" s="352">
        <v>24</v>
      </c>
      <c r="F110" s="352">
        <v>24</v>
      </c>
      <c r="G110" s="352">
        <v>20.100000000000001</v>
      </c>
      <c r="H110" s="352">
        <v>14.3</v>
      </c>
      <c r="I110" s="352">
        <v>12.8</v>
      </c>
      <c r="J110" s="352">
        <v>12.3</v>
      </c>
      <c r="K110" s="352">
        <v>5.85</v>
      </c>
      <c r="L110" s="352">
        <v>7.6</v>
      </c>
      <c r="M110" s="18"/>
      <c r="N110" s="6" t="s">
        <v>444</v>
      </c>
      <c r="O110" s="6"/>
      <c r="P110" s="6"/>
      <c r="Q110" s="6"/>
      <c r="R110" s="6"/>
      <c r="S110" s="6"/>
      <c r="T110" s="6"/>
      <c r="U110" s="6"/>
    </row>
    <row r="111" spans="2:22" outlineLevel="1" x14ac:dyDescent="0.3">
      <c r="C111" s="8" t="s">
        <v>102</v>
      </c>
      <c r="D111" s="11" t="s">
        <v>139</v>
      </c>
      <c r="E111" s="352">
        <v>10.200000000000001</v>
      </c>
      <c r="F111" s="352">
        <v>10.200000000000001</v>
      </c>
      <c r="G111" s="352">
        <v>9.48</v>
      </c>
      <c r="H111" s="352">
        <v>12.89</v>
      </c>
      <c r="I111" s="352">
        <v>9.7799999999999994</v>
      </c>
      <c r="J111" s="352">
        <v>6.96</v>
      </c>
      <c r="K111" s="352">
        <v>10.46</v>
      </c>
      <c r="L111" s="352">
        <v>7.56</v>
      </c>
      <c r="M111" s="18"/>
      <c r="N111" s="6" t="s">
        <v>445</v>
      </c>
      <c r="O111" s="6"/>
      <c r="P111" s="6"/>
      <c r="Q111" s="6"/>
      <c r="R111" s="6"/>
      <c r="S111" s="6"/>
      <c r="T111" s="6"/>
      <c r="U111" s="6"/>
    </row>
    <row r="112" spans="2:22" outlineLevel="1" x14ac:dyDescent="0.3">
      <c r="C112" s="8" t="s">
        <v>104</v>
      </c>
      <c r="D112" s="11" t="s">
        <v>139</v>
      </c>
      <c r="E112" s="352">
        <v>19.461009774389957</v>
      </c>
      <c r="F112" s="352">
        <v>22.71</v>
      </c>
      <c r="G112" s="352">
        <v>27.05</v>
      </c>
      <c r="H112" s="352">
        <v>17.916666666666668</v>
      </c>
      <c r="I112" s="352">
        <v>21.11</v>
      </c>
      <c r="J112" s="352">
        <v>32.9</v>
      </c>
      <c r="K112" s="352">
        <v>12.72</v>
      </c>
      <c r="L112" s="352">
        <v>13.6</v>
      </c>
      <c r="M112" s="18"/>
      <c r="N112" s="6" t="s">
        <v>446</v>
      </c>
      <c r="O112" s="6"/>
      <c r="P112" s="6"/>
      <c r="Q112" s="6"/>
      <c r="R112" s="6"/>
      <c r="S112" s="6"/>
      <c r="T112" s="6"/>
      <c r="U112" s="6"/>
    </row>
    <row r="113" spans="2:22" outlineLevel="1" x14ac:dyDescent="0.3">
      <c r="C113" s="8" t="s">
        <v>106</v>
      </c>
      <c r="D113" s="11" t="s">
        <v>139</v>
      </c>
      <c r="E113" s="352">
        <v>23.580000000000002</v>
      </c>
      <c r="F113" s="352">
        <v>23.46</v>
      </c>
      <c r="G113" s="352">
        <v>156.54</v>
      </c>
      <c r="H113" s="352">
        <v>15.866666666666667</v>
      </c>
      <c r="I113" s="352">
        <v>12.566666666666666</v>
      </c>
      <c r="J113" s="352">
        <v>75.983333333333348</v>
      </c>
      <c r="K113" s="352">
        <v>15.016666666666664</v>
      </c>
      <c r="L113" s="352">
        <v>9.2833333333333332</v>
      </c>
      <c r="M113" s="18"/>
      <c r="N113" s="6" t="s">
        <v>446</v>
      </c>
      <c r="O113" s="6"/>
      <c r="P113" s="6"/>
      <c r="Q113" s="6"/>
      <c r="R113" s="6"/>
      <c r="S113" s="6"/>
      <c r="T113" s="6"/>
      <c r="U113" s="6"/>
    </row>
    <row r="114" spans="2:22" outlineLevel="1" x14ac:dyDescent="0.3">
      <c r="C114" s="8" t="s">
        <v>108</v>
      </c>
      <c r="D114" s="11" t="s">
        <v>139</v>
      </c>
      <c r="E114" s="352">
        <v>4.0200000000000005</v>
      </c>
      <c r="F114" s="352">
        <v>5.1599999999999993</v>
      </c>
      <c r="G114" s="352">
        <v>8.7333333333333325</v>
      </c>
      <c r="H114" s="352">
        <v>3.5</v>
      </c>
      <c r="I114" s="352">
        <v>4.1500000000000004</v>
      </c>
      <c r="J114" s="352">
        <v>4.2833333333333332</v>
      </c>
      <c r="K114" s="352">
        <v>3.9000000000000004</v>
      </c>
      <c r="L114" s="352">
        <v>3.3666666666666667</v>
      </c>
      <c r="M114" s="18"/>
      <c r="N114" s="6" t="s">
        <v>447</v>
      </c>
      <c r="O114" s="6"/>
      <c r="P114" s="6"/>
      <c r="Q114" s="6"/>
      <c r="R114" s="6"/>
      <c r="S114" s="6"/>
      <c r="T114" s="6"/>
      <c r="U114" s="6"/>
    </row>
    <row r="115" spans="2:22" outlineLevel="1" x14ac:dyDescent="0.3">
      <c r="C115" s="8" t="s">
        <v>112</v>
      </c>
      <c r="D115" s="11" t="s">
        <v>139</v>
      </c>
      <c r="E115" s="352">
        <v>13.2</v>
      </c>
      <c r="F115" s="352">
        <v>16.200000000000003</v>
      </c>
      <c r="G115" s="352">
        <v>8</v>
      </c>
      <c r="H115" s="352">
        <v>32.049999999999997</v>
      </c>
      <c r="I115" s="352">
        <v>12.9</v>
      </c>
      <c r="J115" s="352">
        <v>44.6</v>
      </c>
      <c r="K115" s="352">
        <v>14.2</v>
      </c>
      <c r="L115" s="352">
        <v>10</v>
      </c>
      <c r="M115" s="18"/>
      <c r="N115" s="6" t="s">
        <v>448</v>
      </c>
      <c r="O115" s="6"/>
      <c r="P115" s="6"/>
      <c r="Q115" s="6"/>
      <c r="R115" s="6"/>
      <c r="S115" s="6"/>
      <c r="T115" s="6"/>
      <c r="U115" s="6"/>
    </row>
    <row r="116" spans="2:22" outlineLevel="1" x14ac:dyDescent="0.3">
      <c r="C116" s="8" t="s">
        <v>114</v>
      </c>
      <c r="D116" s="11" t="s">
        <v>139</v>
      </c>
      <c r="E116" s="352">
        <v>9.8436305366024133</v>
      </c>
      <c r="F116" s="352">
        <v>9</v>
      </c>
      <c r="G116" s="352">
        <v>8.2467621734578476</v>
      </c>
      <c r="H116" s="352">
        <v>4.2333333333333334</v>
      </c>
      <c r="I116" s="352">
        <v>5.1802000000000001</v>
      </c>
      <c r="J116" s="352">
        <v>8.5319000000000003</v>
      </c>
      <c r="K116" s="352">
        <v>7.15</v>
      </c>
      <c r="L116" s="352">
        <v>3.35</v>
      </c>
      <c r="M116" s="18"/>
      <c r="N116" s="6" t="s">
        <v>449</v>
      </c>
      <c r="O116" s="6"/>
      <c r="P116" s="6"/>
      <c r="Q116" s="6"/>
      <c r="R116" s="6"/>
      <c r="S116" s="6"/>
      <c r="T116" s="6"/>
      <c r="U116" s="6"/>
    </row>
    <row r="117" spans="2:22" outlineLevel="1" x14ac:dyDescent="0.3">
      <c r="C117" s="8" t="s">
        <v>110</v>
      </c>
      <c r="D117" s="11" t="s">
        <v>139</v>
      </c>
      <c r="E117" s="352">
        <v>15</v>
      </c>
      <c r="F117" s="352">
        <v>13.44</v>
      </c>
      <c r="G117" s="352">
        <v>28.799999999999997</v>
      </c>
      <c r="H117" s="352">
        <v>6</v>
      </c>
      <c r="I117" s="352">
        <v>4.38</v>
      </c>
      <c r="J117" s="352">
        <v>3</v>
      </c>
      <c r="K117" s="352">
        <v>16.200000000000003</v>
      </c>
      <c r="L117" s="352">
        <v>1.2</v>
      </c>
      <c r="M117" s="18"/>
      <c r="N117" s="150" t="s">
        <v>450</v>
      </c>
      <c r="O117" s="6"/>
      <c r="P117" s="6"/>
      <c r="Q117" s="6"/>
      <c r="R117" s="6"/>
      <c r="S117" s="6"/>
      <c r="T117" s="6"/>
      <c r="U117" s="6"/>
    </row>
    <row r="118" spans="2:22" outlineLevel="1" x14ac:dyDescent="0.3"/>
    <row r="119" spans="2:22" outlineLevel="1" x14ac:dyDescent="0.3">
      <c r="C119" s="12" t="s">
        <v>451</v>
      </c>
      <c r="D119" s="13" t="s">
        <v>139</v>
      </c>
      <c r="E119" s="14">
        <f xml:space="preserve"> IFERROR( SUMPRODUCT( E101:E117, E123:E139 ) / E141, 0 )</f>
        <v>18.403747556932306</v>
      </c>
      <c r="F119" s="14">
        <f t="shared" ref="F119:L119" si="4" xml:space="preserve"> IFERROR( SUMPRODUCT( F101:F117, F123:F139 ) / F141, 0 )</f>
        <v>15.367799836254441</v>
      </c>
      <c r="G119" s="14">
        <f t="shared" si="4"/>
        <v>16.056692571299681</v>
      </c>
      <c r="H119" s="14">
        <f t="shared" si="4"/>
        <v>13.79321385845717</v>
      </c>
      <c r="I119" s="14">
        <f t="shared" si="4"/>
        <v>10.789731647240721</v>
      </c>
      <c r="J119" s="14">
        <f t="shared" si="4"/>
        <v>22.342067515177202</v>
      </c>
      <c r="K119" s="14">
        <f t="shared" si="4"/>
        <v>13.231926443361266</v>
      </c>
      <c r="L119" s="14">
        <f t="shared" si="4"/>
        <v>11.748844063552031</v>
      </c>
    </row>
    <row r="120" spans="2:22" outlineLevel="1" x14ac:dyDescent="0.3"/>
    <row r="121" spans="2:22" s="30" customFormat="1" ht="13.5" outlineLevel="1" x14ac:dyDescent="0.35">
      <c r="B121" s="31" t="s">
        <v>452</v>
      </c>
      <c r="C121" s="31"/>
      <c r="D121" s="28"/>
      <c r="E121" s="29"/>
      <c r="F121" s="29"/>
      <c r="G121" s="29"/>
      <c r="H121" s="29"/>
      <c r="I121" s="29"/>
      <c r="J121" s="29"/>
      <c r="K121" s="29"/>
      <c r="L121" s="29"/>
      <c r="M121" s="29"/>
      <c r="N121" s="143" t="s">
        <v>453</v>
      </c>
      <c r="O121" s="143"/>
      <c r="P121" s="143"/>
      <c r="Q121" s="143"/>
      <c r="R121" s="143" t="s">
        <v>226</v>
      </c>
      <c r="S121" s="143"/>
      <c r="T121" s="143"/>
      <c r="U121" s="143"/>
      <c r="V121" s="146"/>
    </row>
    <row r="122" spans="2:22" outlineLevel="1" x14ac:dyDescent="0.3"/>
    <row r="123" spans="2:22" outlineLevel="1" x14ac:dyDescent="0.3">
      <c r="C123" s="8" t="s">
        <v>80</v>
      </c>
      <c r="D123" s="16" t="s">
        <v>129</v>
      </c>
      <c r="E123" s="359">
        <v>2104.6220000000003</v>
      </c>
      <c r="F123" s="359">
        <v>2120.2249999999999</v>
      </c>
      <c r="G123" s="359">
        <v>2137.9169999999999</v>
      </c>
      <c r="H123" s="359">
        <v>2154.5810000000001</v>
      </c>
      <c r="I123" s="359">
        <v>2160.277</v>
      </c>
      <c r="J123" s="359">
        <v>2195.7190000000001</v>
      </c>
      <c r="K123" s="359">
        <v>2218.665</v>
      </c>
      <c r="L123" s="359">
        <v>2244.4090000000001</v>
      </c>
      <c r="M123" s="18"/>
      <c r="N123" s="6"/>
    </row>
    <row r="124" spans="2:22" outlineLevel="1" x14ac:dyDescent="0.3">
      <c r="C124" s="8" t="s">
        <v>82</v>
      </c>
      <c r="D124" s="16" t="s">
        <v>129</v>
      </c>
      <c r="E124" s="359">
        <v>1398.7240000000002</v>
      </c>
      <c r="F124" s="359">
        <v>1403.8110000000001</v>
      </c>
      <c r="G124" s="359">
        <v>1408.011</v>
      </c>
      <c r="H124" s="359">
        <v>1417.0030000000002</v>
      </c>
      <c r="I124" s="359">
        <v>1424.962</v>
      </c>
      <c r="J124" s="359">
        <v>1433.501</v>
      </c>
      <c r="K124" s="359">
        <v>1441.768</v>
      </c>
      <c r="L124" s="359">
        <v>1451.3249999999998</v>
      </c>
      <c r="M124" s="18"/>
      <c r="N124" s="6"/>
    </row>
    <row r="125" spans="2:22" outlineLevel="1" x14ac:dyDescent="0.3">
      <c r="C125" s="8" t="s">
        <v>85</v>
      </c>
      <c r="D125" s="16" t="s">
        <v>129</v>
      </c>
      <c r="E125" s="359">
        <v>124.08499999999999</v>
      </c>
      <c r="F125" s="359">
        <v>124.748</v>
      </c>
      <c r="G125" s="359">
        <v>125.63799999999999</v>
      </c>
      <c r="H125" s="359">
        <v>126.64100000000001</v>
      </c>
      <c r="I125" s="359">
        <v>127.423</v>
      </c>
      <c r="J125" s="359">
        <v>127.92999999999999</v>
      </c>
      <c r="K125" s="359">
        <v>104.97399999999999</v>
      </c>
      <c r="L125" s="359">
        <v>105.32900000000001</v>
      </c>
      <c r="M125" s="18"/>
      <c r="N125" s="6" t="s">
        <v>454</v>
      </c>
    </row>
    <row r="126" spans="2:22" outlineLevel="1" x14ac:dyDescent="0.3">
      <c r="C126" s="8" t="s">
        <v>87</v>
      </c>
      <c r="D126" s="16" t="s">
        <v>129</v>
      </c>
      <c r="E126" s="359">
        <v>1965.192</v>
      </c>
      <c r="F126" s="359">
        <v>1972.577</v>
      </c>
      <c r="G126" s="359">
        <v>1984.55</v>
      </c>
      <c r="H126" s="359">
        <v>2005.971</v>
      </c>
      <c r="I126" s="359">
        <v>2021.4859999999999</v>
      </c>
      <c r="J126" s="359">
        <v>2018.673</v>
      </c>
      <c r="K126" s="359">
        <v>2029.5919999999999</v>
      </c>
      <c r="L126" s="359">
        <v>2047.713</v>
      </c>
      <c r="M126" s="18"/>
      <c r="N126" s="6"/>
    </row>
    <row r="127" spans="2:22" outlineLevel="1" x14ac:dyDescent="0.3">
      <c r="C127" s="8" t="s">
        <v>89</v>
      </c>
      <c r="D127" s="16" t="s">
        <v>129</v>
      </c>
      <c r="E127" s="359">
        <v>3462.8650000000002</v>
      </c>
      <c r="F127" s="359">
        <v>3482.3990000000003</v>
      </c>
      <c r="G127" s="359">
        <v>3500.0930000000003</v>
      </c>
      <c r="H127" s="359">
        <v>3529.0120000000002</v>
      </c>
      <c r="I127" s="359">
        <v>3532.127</v>
      </c>
      <c r="J127" s="359">
        <v>3588.7160000000003</v>
      </c>
      <c r="K127" s="359">
        <v>3636.96</v>
      </c>
      <c r="L127" s="359">
        <v>3669.9960000000001</v>
      </c>
      <c r="M127" s="18"/>
      <c r="N127" s="6" t="s">
        <v>455</v>
      </c>
    </row>
    <row r="128" spans="2:22" outlineLevel="1" x14ac:dyDescent="0.3">
      <c r="C128" s="8" t="s">
        <v>91</v>
      </c>
      <c r="D128" s="16" t="s">
        <v>129</v>
      </c>
      <c r="E128" s="359">
        <v>997.24699999999996</v>
      </c>
      <c r="F128" s="359">
        <v>1003.5430000000003</v>
      </c>
      <c r="G128" s="359">
        <v>1010.0990000000002</v>
      </c>
      <c r="H128" s="359">
        <v>1019.245</v>
      </c>
      <c r="I128" s="359">
        <v>1033.7059999999999</v>
      </c>
      <c r="J128" s="359">
        <v>1044.357</v>
      </c>
      <c r="K128" s="359">
        <v>1053.76</v>
      </c>
      <c r="L128" s="359">
        <v>1062.873</v>
      </c>
      <c r="M128" s="18"/>
      <c r="N128" s="6"/>
    </row>
    <row r="129" spans="2:22" outlineLevel="1" x14ac:dyDescent="0.3">
      <c r="C129" s="8" t="s">
        <v>94</v>
      </c>
      <c r="D129" s="16" t="s">
        <v>129</v>
      </c>
      <c r="E129" s="359">
        <v>1073.463</v>
      </c>
      <c r="F129" s="359">
        <v>1081.6589999999999</v>
      </c>
      <c r="G129" s="359">
        <v>1087.2090000000001</v>
      </c>
      <c r="H129" s="359">
        <v>1093.904</v>
      </c>
      <c r="I129" s="359">
        <v>1104.087</v>
      </c>
      <c r="J129" s="359">
        <v>1114.1600000000001</v>
      </c>
      <c r="K129" s="359">
        <v>1123.4169999999999</v>
      </c>
      <c r="L129" s="359">
        <v>1130.5</v>
      </c>
      <c r="M129" s="18"/>
      <c r="N129" s="6"/>
    </row>
    <row r="130" spans="2:22" outlineLevel="1" x14ac:dyDescent="0.3">
      <c r="C130" s="8" t="s">
        <v>96</v>
      </c>
      <c r="D130" s="16" t="s">
        <v>129</v>
      </c>
      <c r="E130" s="359">
        <v>3677.741</v>
      </c>
      <c r="F130" s="359">
        <v>3697.8240000000001</v>
      </c>
      <c r="G130" s="359">
        <v>3724.4589999999998</v>
      </c>
      <c r="H130" s="359">
        <v>3758.3599999999997</v>
      </c>
      <c r="I130" s="359">
        <v>3789.6219999999998</v>
      </c>
      <c r="J130" s="359">
        <v>3826.422</v>
      </c>
      <c r="K130" s="359">
        <v>3879.9940000000001</v>
      </c>
      <c r="L130" s="359">
        <v>3919.4849999999997</v>
      </c>
      <c r="M130" s="18"/>
      <c r="N130" s="6"/>
    </row>
    <row r="131" spans="2:22" outlineLevel="1" x14ac:dyDescent="0.3">
      <c r="C131" s="8" t="s">
        <v>98</v>
      </c>
      <c r="D131" s="16" t="s">
        <v>129</v>
      </c>
      <c r="E131" s="359">
        <v>3224.9839999999999</v>
      </c>
      <c r="F131" s="359">
        <v>3236.2539999999999</v>
      </c>
      <c r="G131" s="359">
        <v>3250.509</v>
      </c>
      <c r="H131" s="359">
        <v>3275.078</v>
      </c>
      <c r="I131" s="359">
        <v>3293.08</v>
      </c>
      <c r="J131" s="359">
        <v>3313.1870000000004</v>
      </c>
      <c r="K131" s="359">
        <v>3344.2290000000003</v>
      </c>
      <c r="L131" s="359">
        <v>3379.0010000000002</v>
      </c>
      <c r="M131" s="18"/>
      <c r="N131" s="6"/>
    </row>
    <row r="132" spans="2:22" outlineLevel="1" x14ac:dyDescent="0.3">
      <c r="C132" s="8" t="s">
        <v>100</v>
      </c>
      <c r="D132" s="16" t="s">
        <v>129</v>
      </c>
      <c r="E132" s="359">
        <v>593.13900000000001</v>
      </c>
      <c r="F132" s="359">
        <v>597.49200000000008</v>
      </c>
      <c r="G132" s="359">
        <v>602.25699999999995</v>
      </c>
      <c r="H132" s="359">
        <v>607.30600000000004</v>
      </c>
      <c r="I132" s="359">
        <v>612.12299999999993</v>
      </c>
      <c r="J132" s="359">
        <v>615.40800000000002</v>
      </c>
      <c r="K132" s="359">
        <v>621.10599999999999</v>
      </c>
      <c r="L132" s="359">
        <v>625.51299999999992</v>
      </c>
      <c r="M132" s="18"/>
      <c r="N132" s="6"/>
    </row>
    <row r="133" spans="2:22" outlineLevel="1" x14ac:dyDescent="0.3">
      <c r="C133" s="8" t="s">
        <v>102</v>
      </c>
      <c r="D133" s="16" t="s">
        <v>129</v>
      </c>
      <c r="E133" s="359">
        <v>2244.2739999999999</v>
      </c>
      <c r="F133" s="359">
        <v>2252.6020000000003</v>
      </c>
      <c r="G133" s="359">
        <v>2264.9899999999998</v>
      </c>
      <c r="H133" s="359">
        <v>2276.9300000000003</v>
      </c>
      <c r="I133" s="359">
        <v>2289.7529999999997</v>
      </c>
      <c r="J133" s="359">
        <v>2305.3179999999998</v>
      </c>
      <c r="K133" s="359">
        <v>2319.165</v>
      </c>
      <c r="L133" s="359">
        <v>2337.4070000000002</v>
      </c>
      <c r="M133" s="18"/>
      <c r="N133" s="6"/>
    </row>
    <row r="134" spans="2:22" outlineLevel="1" x14ac:dyDescent="0.3">
      <c r="C134" s="8" t="s">
        <v>104</v>
      </c>
      <c r="D134" s="16" t="s">
        <v>129</v>
      </c>
      <c r="E134" s="359">
        <v>1450.3657500000002</v>
      </c>
      <c r="F134" s="359">
        <v>1458.376</v>
      </c>
      <c r="G134" s="359">
        <v>1465.366</v>
      </c>
      <c r="H134" s="359">
        <v>1474.943</v>
      </c>
      <c r="I134" s="359">
        <v>1490.86</v>
      </c>
      <c r="J134" s="359">
        <v>1500.1960000000001</v>
      </c>
      <c r="K134" s="359">
        <v>1513.2749999999999</v>
      </c>
      <c r="L134" s="359">
        <v>1525.3449999999998</v>
      </c>
      <c r="M134" s="18"/>
      <c r="N134" s="6"/>
    </row>
    <row r="135" spans="2:22" outlineLevel="1" x14ac:dyDescent="0.3">
      <c r="C135" s="8" t="s">
        <v>106</v>
      </c>
      <c r="D135" s="16" t="s">
        <v>129</v>
      </c>
      <c r="E135" s="359">
        <v>516.50900000000001</v>
      </c>
      <c r="F135" s="359">
        <v>520.04600000000005</v>
      </c>
      <c r="G135" s="359">
        <v>523.18299999999999</v>
      </c>
      <c r="H135" s="359">
        <v>527.50900000000001</v>
      </c>
      <c r="I135" s="359">
        <v>530.76800000000003</v>
      </c>
      <c r="J135" s="359">
        <v>536.13800000000003</v>
      </c>
      <c r="K135" s="359">
        <v>540.93100000000004</v>
      </c>
      <c r="L135" s="359">
        <v>545.95600000000002</v>
      </c>
      <c r="M135" s="18"/>
      <c r="N135" s="6"/>
    </row>
    <row r="136" spans="2:22" outlineLevel="1" x14ac:dyDescent="0.3">
      <c r="C136" s="8" t="s">
        <v>108</v>
      </c>
      <c r="D136" s="16" t="s">
        <v>129</v>
      </c>
      <c r="E136" s="359">
        <v>308.791</v>
      </c>
      <c r="F136" s="359">
        <v>310.38</v>
      </c>
      <c r="G136" s="359">
        <v>312.83800000000002</v>
      </c>
      <c r="H136" s="359">
        <v>315.32</v>
      </c>
      <c r="I136" s="359">
        <v>317.77499999999998</v>
      </c>
      <c r="J136" s="359">
        <v>319.80600000000004</v>
      </c>
      <c r="K136" s="359">
        <v>321.59200000000004</v>
      </c>
      <c r="L136" s="359">
        <v>321.67399999999998</v>
      </c>
      <c r="M136" s="18"/>
      <c r="N136" s="6"/>
    </row>
    <row r="137" spans="2:22" outlineLevel="1" x14ac:dyDescent="0.3">
      <c r="C137" s="8" t="s">
        <v>112</v>
      </c>
      <c r="D137" s="16" t="s">
        <v>129</v>
      </c>
      <c r="E137" s="359">
        <v>897.077</v>
      </c>
      <c r="F137" s="359">
        <v>902.14800000000002</v>
      </c>
      <c r="G137" s="359">
        <v>987.05700000000002</v>
      </c>
      <c r="H137" s="359">
        <v>992.423</v>
      </c>
      <c r="I137" s="359">
        <v>1004.6220000000001</v>
      </c>
      <c r="J137" s="359">
        <v>1013.178</v>
      </c>
      <c r="K137" s="359">
        <v>1020.985</v>
      </c>
      <c r="L137" s="359">
        <v>1030.4390000000001</v>
      </c>
      <c r="M137" s="18"/>
      <c r="N137" s="6"/>
    </row>
    <row r="138" spans="2:22" outlineLevel="1" x14ac:dyDescent="0.3">
      <c r="C138" s="8" t="s">
        <v>114</v>
      </c>
      <c r="D138" s="16" t="s">
        <v>129</v>
      </c>
      <c r="E138" s="359">
        <v>702.81200000000001</v>
      </c>
      <c r="F138" s="359">
        <v>714.35300000000007</v>
      </c>
      <c r="G138" s="359">
        <v>721.84300000000007</v>
      </c>
      <c r="H138" s="359">
        <v>724.928</v>
      </c>
      <c r="I138" s="359">
        <v>728.84800000000007</v>
      </c>
      <c r="J138" s="359">
        <v>735.85799999999995</v>
      </c>
      <c r="K138" s="359">
        <v>737.11399999999992</v>
      </c>
      <c r="L138" s="359">
        <v>742.64</v>
      </c>
      <c r="M138" s="18"/>
      <c r="N138" s="6"/>
    </row>
    <row r="139" spans="2:22" outlineLevel="1" x14ac:dyDescent="0.3">
      <c r="C139" s="8" t="s">
        <v>110</v>
      </c>
      <c r="D139" s="16" t="s">
        <v>129</v>
      </c>
      <c r="E139" s="359">
        <v>282.01600000000002</v>
      </c>
      <c r="F139" s="359">
        <v>283.77199999999999</v>
      </c>
      <c r="G139" s="359">
        <v>285.613</v>
      </c>
      <c r="H139" s="359">
        <v>287.08999999999997</v>
      </c>
      <c r="I139" s="359">
        <v>288.66800000000001</v>
      </c>
      <c r="J139" s="359">
        <v>291.35199999999998</v>
      </c>
      <c r="K139" s="359">
        <v>292.34700000000004</v>
      </c>
      <c r="L139" s="359">
        <v>295.18100000000004</v>
      </c>
      <c r="M139" s="18"/>
      <c r="N139" s="6"/>
    </row>
    <row r="140" spans="2:22" outlineLevel="1" x14ac:dyDescent="0.3"/>
    <row r="141" spans="2:22" outlineLevel="1" x14ac:dyDescent="0.3">
      <c r="C141" s="12" t="s">
        <v>424</v>
      </c>
      <c r="D141" s="13" t="s">
        <v>129</v>
      </c>
      <c r="E141" s="15">
        <f>SUM(E123:E139)</f>
        <v>25023.906750000002</v>
      </c>
      <c r="F141" s="15">
        <f t="shared" ref="F141:L141" si="5">SUM(F123:F139)</f>
        <v>25162.208999999999</v>
      </c>
      <c r="G141" s="15">
        <f t="shared" si="5"/>
        <v>25391.632000000009</v>
      </c>
      <c r="H141" s="15">
        <f t="shared" si="5"/>
        <v>25586.243999999999</v>
      </c>
      <c r="I141" s="15">
        <f t="shared" si="5"/>
        <v>25750.187000000002</v>
      </c>
      <c r="J141" s="15">
        <f t="shared" si="5"/>
        <v>25979.918999999998</v>
      </c>
      <c r="K141" s="15">
        <f>SUM(K123:K139)</f>
        <v>26199.874000000007</v>
      </c>
      <c r="L141" s="15">
        <f t="shared" si="5"/>
        <v>26434.785999999996</v>
      </c>
    </row>
    <row r="143" spans="2:22" ht="13.5" x14ac:dyDescent="0.35">
      <c r="B143" s="9" t="s">
        <v>165</v>
      </c>
      <c r="C143" s="9"/>
      <c r="D143" s="10"/>
      <c r="E143" s="9"/>
      <c r="F143" s="9"/>
      <c r="G143" s="9"/>
      <c r="H143" s="9"/>
      <c r="I143" s="9"/>
      <c r="J143" s="9"/>
      <c r="K143" s="9"/>
      <c r="L143" s="9"/>
      <c r="M143" s="9"/>
      <c r="N143" s="144"/>
      <c r="O143" s="144"/>
      <c r="P143" s="144"/>
      <c r="Q143" s="144"/>
      <c r="R143" s="144"/>
      <c r="S143" s="144"/>
      <c r="T143" s="144"/>
      <c r="U143" s="144"/>
      <c r="V143" s="145"/>
    </row>
    <row r="144" spans="2:22" outlineLevel="1" x14ac:dyDescent="0.3"/>
    <row r="145" spans="2:22" s="30" customFormat="1" ht="13.5" outlineLevel="1" x14ac:dyDescent="0.35">
      <c r="B145" s="31" t="s">
        <v>251</v>
      </c>
      <c r="C145" s="31"/>
      <c r="D145" s="28"/>
      <c r="E145" s="29"/>
      <c r="F145" s="29"/>
      <c r="G145" s="29"/>
      <c r="H145" s="29"/>
      <c r="I145" s="29"/>
      <c r="J145" s="29"/>
      <c r="K145" s="29"/>
      <c r="L145" s="29"/>
      <c r="M145" s="29"/>
      <c r="N145" s="143" t="s">
        <v>456</v>
      </c>
      <c r="O145" s="143"/>
      <c r="P145" s="143"/>
      <c r="Q145" s="143"/>
      <c r="R145" s="143"/>
      <c r="S145" s="285" t="s">
        <v>457</v>
      </c>
      <c r="T145" s="285" t="s">
        <v>458</v>
      </c>
      <c r="U145" s="143"/>
      <c r="V145" s="146"/>
    </row>
    <row r="146" spans="2:22" outlineLevel="1" x14ac:dyDescent="0.3"/>
    <row r="147" spans="2:22" outlineLevel="1" x14ac:dyDescent="0.3">
      <c r="C147" s="8" t="s">
        <v>80</v>
      </c>
      <c r="D147" s="16" t="s">
        <v>141</v>
      </c>
      <c r="E147" s="352">
        <v>1.5861058443587874</v>
      </c>
      <c r="F147" s="352">
        <v>1.5454206194763918</v>
      </c>
      <c r="G147" s="352">
        <v>1.482773234423562</v>
      </c>
      <c r="H147" s="352">
        <v>1.3857542457303136</v>
      </c>
      <c r="I147" s="352">
        <v>1.3801975855884554</v>
      </c>
      <c r="J147" s="352">
        <v>1.23</v>
      </c>
      <c r="K147" s="352">
        <v>1.18</v>
      </c>
      <c r="L147" s="352">
        <v>1.1499999999999999</v>
      </c>
      <c r="M147" s="18"/>
      <c r="N147" s="152" t="s">
        <v>459</v>
      </c>
      <c r="O147" s="151" t="s">
        <v>151</v>
      </c>
      <c r="R147" s="6" t="s">
        <v>460</v>
      </c>
    </row>
    <row r="148" spans="2:22" outlineLevel="1" x14ac:dyDescent="0.3">
      <c r="C148" s="8" t="s">
        <v>82</v>
      </c>
      <c r="D148" s="16" t="s">
        <v>141</v>
      </c>
      <c r="E148" s="352">
        <v>3.3</v>
      </c>
      <c r="F148" s="352">
        <v>3.92</v>
      </c>
      <c r="G148" s="352">
        <v>3.53</v>
      </c>
      <c r="H148" s="352">
        <v>3.29</v>
      </c>
      <c r="I148" s="352">
        <v>3.48</v>
      </c>
      <c r="J148" s="352">
        <v>3.27</v>
      </c>
      <c r="K148" s="352">
        <v>3.42</v>
      </c>
      <c r="L148" s="352">
        <v>2.96</v>
      </c>
      <c r="M148" s="18"/>
      <c r="N148" s="152" t="s">
        <v>459</v>
      </c>
      <c r="O148" s="151" t="s">
        <v>151</v>
      </c>
    </row>
    <row r="149" spans="2:22" outlineLevel="1" x14ac:dyDescent="0.3">
      <c r="C149" s="8" t="s">
        <v>85</v>
      </c>
      <c r="D149" s="16" t="s">
        <v>141</v>
      </c>
      <c r="E149" s="352">
        <v>5.03</v>
      </c>
      <c r="F149" s="352">
        <v>6.37</v>
      </c>
      <c r="G149" s="352">
        <v>3.71</v>
      </c>
      <c r="H149" s="352">
        <v>2.72</v>
      </c>
      <c r="I149" s="352">
        <v>2.7</v>
      </c>
      <c r="J149" s="352">
        <v>2.1</v>
      </c>
      <c r="K149" s="352">
        <v>2.87</v>
      </c>
      <c r="L149" s="352">
        <v>2.4500000000000002</v>
      </c>
      <c r="M149" s="18"/>
      <c r="N149" s="151" t="s">
        <v>461</v>
      </c>
      <c r="O149" s="151" t="s">
        <v>178</v>
      </c>
      <c r="P149" s="151" t="s">
        <v>151</v>
      </c>
      <c r="R149" s="6" t="s">
        <v>462</v>
      </c>
    </row>
    <row r="150" spans="2:22" outlineLevel="1" x14ac:dyDescent="0.3">
      <c r="C150" s="8" t="s">
        <v>87</v>
      </c>
      <c r="D150" s="16" t="s">
        <v>141</v>
      </c>
      <c r="E150" s="352">
        <v>1.964999803428727</v>
      </c>
      <c r="F150" s="352">
        <v>1.8737042690541028</v>
      </c>
      <c r="G150" s="352">
        <v>1.6451997175438333</v>
      </c>
      <c r="H150" s="352">
        <v>1.432199814112683</v>
      </c>
      <c r="I150" s="352">
        <v>1.4942303829234707</v>
      </c>
      <c r="J150" s="352">
        <v>1.3444443672008064</v>
      </c>
      <c r="K150" s="352">
        <v>1.3425628323507699</v>
      </c>
      <c r="L150" s="352">
        <v>1.0630397570403092</v>
      </c>
      <c r="M150" s="18"/>
      <c r="N150" s="152" t="s">
        <v>463</v>
      </c>
      <c r="O150" s="151" t="s">
        <v>464</v>
      </c>
      <c r="P150" s="151" t="s">
        <v>465</v>
      </c>
      <c r="Q150" s="151" t="s">
        <v>466</v>
      </c>
      <c r="R150" s="6" t="s">
        <v>467</v>
      </c>
    </row>
    <row r="151" spans="2:22" outlineLevel="1" x14ac:dyDescent="0.3">
      <c r="C151" s="8" t="s">
        <v>89</v>
      </c>
      <c r="D151" s="16" t="s">
        <v>141</v>
      </c>
      <c r="E151" s="352">
        <v>1.73</v>
      </c>
      <c r="F151" s="352">
        <v>1.86</v>
      </c>
      <c r="G151" s="352">
        <v>1.92</v>
      </c>
      <c r="H151" s="352">
        <v>1.95</v>
      </c>
      <c r="I151" s="352">
        <v>1.98</v>
      </c>
      <c r="J151" s="352">
        <v>1.74</v>
      </c>
      <c r="K151" s="352">
        <v>1.64</v>
      </c>
      <c r="L151" s="352">
        <v>1.4</v>
      </c>
      <c r="M151" s="18"/>
      <c r="N151" s="152" t="s">
        <v>459</v>
      </c>
      <c r="O151" s="151" t="s">
        <v>151</v>
      </c>
      <c r="R151" s="6" t="s">
        <v>468</v>
      </c>
    </row>
    <row r="152" spans="2:22" outlineLevel="1" x14ac:dyDescent="0.3">
      <c r="C152" s="8" t="s">
        <v>91</v>
      </c>
      <c r="D152" s="16" t="s">
        <v>141</v>
      </c>
      <c r="E152" s="352">
        <v>4.7238175480478377</v>
      </c>
      <c r="F152" s="352">
        <v>4.9901726705006526</v>
      </c>
      <c r="G152" s="352">
        <v>3.3966921905514056</v>
      </c>
      <c r="H152" s="352">
        <v>3.009921787709497</v>
      </c>
      <c r="I152" s="352">
        <v>2.7964410596268969</v>
      </c>
      <c r="J152" s="352">
        <v>2.4363286918285083</v>
      </c>
      <c r="K152" s="352">
        <v>2.4178379147778002</v>
      </c>
      <c r="L152" s="352">
        <v>2.0920222761358622</v>
      </c>
      <c r="M152" s="18"/>
      <c r="N152" s="152" t="s">
        <v>469</v>
      </c>
      <c r="O152" s="151" t="s">
        <v>470</v>
      </c>
      <c r="P152" s="151" t="s">
        <v>471</v>
      </c>
      <c r="Q152" s="151" t="s">
        <v>472</v>
      </c>
      <c r="R152" s="6" t="s">
        <v>473</v>
      </c>
    </row>
    <row r="153" spans="2:22" outlineLevel="1" x14ac:dyDescent="0.3">
      <c r="C153" s="8" t="s">
        <v>94</v>
      </c>
      <c r="D153" s="16" t="s">
        <v>141</v>
      </c>
      <c r="E153" s="352">
        <v>1.57</v>
      </c>
      <c r="F153" s="352">
        <v>1.48</v>
      </c>
      <c r="G153" s="352">
        <v>1.42</v>
      </c>
      <c r="H153" s="352">
        <v>1.29</v>
      </c>
      <c r="I153" s="352">
        <v>1.45</v>
      </c>
      <c r="J153" s="352">
        <v>1.4</v>
      </c>
      <c r="K153" s="352">
        <v>1.26</v>
      </c>
      <c r="L153" s="352">
        <v>1.21</v>
      </c>
      <c r="M153" s="18"/>
      <c r="N153" s="152" t="s">
        <v>459</v>
      </c>
      <c r="O153" s="151" t="s">
        <v>151</v>
      </c>
    </row>
    <row r="154" spans="2:22" outlineLevel="1" x14ac:dyDescent="0.3">
      <c r="C154" s="8" t="s">
        <v>96</v>
      </c>
      <c r="D154" s="16" t="s">
        <v>141</v>
      </c>
      <c r="E154" s="352">
        <v>0.69</v>
      </c>
      <c r="F154" s="352">
        <v>0.6</v>
      </c>
      <c r="G154" s="352">
        <v>0.56999999999999995</v>
      </c>
      <c r="H154" s="352">
        <v>0.64</v>
      </c>
      <c r="I154" s="352">
        <v>0.61</v>
      </c>
      <c r="J154" s="352">
        <v>0.57999999999999996</v>
      </c>
      <c r="K154" s="352">
        <v>0.61</v>
      </c>
      <c r="L154" s="352">
        <v>0.62</v>
      </c>
      <c r="M154" s="18"/>
      <c r="N154" s="152" t="s">
        <v>459</v>
      </c>
      <c r="O154" s="151" t="s">
        <v>151</v>
      </c>
    </row>
    <row r="155" spans="2:22" outlineLevel="1" x14ac:dyDescent="0.3">
      <c r="C155" s="8" t="s">
        <v>98</v>
      </c>
      <c r="D155" s="16" t="s">
        <v>141</v>
      </c>
      <c r="E155" s="352">
        <v>2.29</v>
      </c>
      <c r="F155" s="352">
        <v>2.1</v>
      </c>
      <c r="G155" s="352">
        <v>1.99</v>
      </c>
      <c r="H155" s="352">
        <v>1.8</v>
      </c>
      <c r="I155" s="352">
        <v>1.84</v>
      </c>
      <c r="J155" s="352">
        <v>2.13</v>
      </c>
      <c r="K155" s="352">
        <v>2.06</v>
      </c>
      <c r="L155" s="352">
        <v>1.93</v>
      </c>
      <c r="M155" s="18"/>
      <c r="N155" s="152" t="s">
        <v>459</v>
      </c>
      <c r="O155" s="151" t="s">
        <v>151</v>
      </c>
    </row>
    <row r="156" spans="2:22" outlineLevel="1" x14ac:dyDescent="0.3">
      <c r="C156" s="8" t="s">
        <v>100</v>
      </c>
      <c r="D156" s="16" t="s">
        <v>141</v>
      </c>
      <c r="E156" s="352">
        <v>2.4500000000000002</v>
      </c>
      <c r="F156" s="352">
        <v>2.33</v>
      </c>
      <c r="G156" s="352">
        <v>2.36</v>
      </c>
      <c r="H156" s="352">
        <v>1.9</v>
      </c>
      <c r="I156" s="352">
        <v>1.68</v>
      </c>
      <c r="J156" s="352">
        <v>1.56</v>
      </c>
      <c r="K156" s="352">
        <v>1.54</v>
      </c>
      <c r="L156" s="352">
        <v>1.59</v>
      </c>
      <c r="M156" s="18"/>
      <c r="N156" s="152" t="s">
        <v>459</v>
      </c>
      <c r="O156" s="151" t="s">
        <v>151</v>
      </c>
    </row>
    <row r="157" spans="2:22" outlineLevel="1" x14ac:dyDescent="0.3">
      <c r="C157" s="8" t="s">
        <v>102</v>
      </c>
      <c r="D157" s="16" t="s">
        <v>141</v>
      </c>
      <c r="E157" s="352">
        <v>2.4500000000000002</v>
      </c>
      <c r="F157" s="352">
        <v>2.74</v>
      </c>
      <c r="G157" s="352">
        <v>2.2200000000000002</v>
      </c>
      <c r="H157" s="352">
        <v>2.15</v>
      </c>
      <c r="I157" s="352">
        <v>1.94</v>
      </c>
      <c r="J157" s="352">
        <v>1.51</v>
      </c>
      <c r="K157" s="352">
        <v>1.64</v>
      </c>
      <c r="L157" s="352">
        <v>1.31</v>
      </c>
      <c r="M157" s="18"/>
      <c r="N157" s="152" t="s">
        <v>459</v>
      </c>
      <c r="O157" s="151" t="s">
        <v>151</v>
      </c>
    </row>
    <row r="158" spans="2:22" outlineLevel="1" x14ac:dyDescent="0.3">
      <c r="C158" s="8" t="s">
        <v>104</v>
      </c>
      <c r="D158" s="16" t="s">
        <v>141</v>
      </c>
      <c r="E158" s="352">
        <v>1.1000000000000001</v>
      </c>
      <c r="F158" s="352">
        <v>1.08</v>
      </c>
      <c r="G158" s="352">
        <v>1.07</v>
      </c>
      <c r="H158" s="352">
        <v>0.98</v>
      </c>
      <c r="I158" s="352">
        <v>0.96</v>
      </c>
      <c r="J158" s="352">
        <v>0.83</v>
      </c>
      <c r="K158" s="352">
        <v>0.82</v>
      </c>
      <c r="L158" s="352">
        <v>0.81</v>
      </c>
      <c r="M158" s="18"/>
      <c r="N158" s="153" t="s">
        <v>459</v>
      </c>
      <c r="O158" s="151" t="s">
        <v>151</v>
      </c>
    </row>
    <row r="159" spans="2:22" outlineLevel="1" x14ac:dyDescent="0.3">
      <c r="C159" s="8" t="s">
        <v>106</v>
      </c>
      <c r="D159" s="16" t="s">
        <v>141</v>
      </c>
      <c r="E159" s="352">
        <v>2.15</v>
      </c>
      <c r="F159" s="352">
        <v>1.87</v>
      </c>
      <c r="G159" s="352">
        <v>2.13</v>
      </c>
      <c r="H159" s="352">
        <v>1.93</v>
      </c>
      <c r="I159" s="352">
        <v>1.8</v>
      </c>
      <c r="J159" s="352">
        <v>1.53</v>
      </c>
      <c r="K159" s="352">
        <v>1.69</v>
      </c>
      <c r="L159" s="352">
        <v>1.46</v>
      </c>
      <c r="M159" s="18"/>
      <c r="N159" s="152" t="s">
        <v>459</v>
      </c>
      <c r="O159" s="151" t="s">
        <v>151</v>
      </c>
    </row>
    <row r="160" spans="2:22" outlineLevel="1" x14ac:dyDescent="0.3">
      <c r="C160" s="8" t="s">
        <v>108</v>
      </c>
      <c r="D160" s="16" t="s">
        <v>141</v>
      </c>
      <c r="E160" s="352">
        <v>0.55000000000000004</v>
      </c>
      <c r="F160" s="352">
        <v>0.43</v>
      </c>
      <c r="G160" s="352">
        <v>0.84</v>
      </c>
      <c r="H160" s="352">
        <v>0.56999999999999995</v>
      </c>
      <c r="I160" s="352">
        <v>0.67</v>
      </c>
      <c r="J160" s="352">
        <v>0.55000000000000004</v>
      </c>
      <c r="K160" s="352">
        <v>0.44</v>
      </c>
      <c r="L160" s="352">
        <v>0.39</v>
      </c>
      <c r="M160" s="18"/>
      <c r="N160" s="152" t="s">
        <v>459</v>
      </c>
      <c r="O160" s="151" t="s">
        <v>151</v>
      </c>
    </row>
    <row r="161" spans="2:22" outlineLevel="1" x14ac:dyDescent="0.3">
      <c r="C161" s="8" t="s">
        <v>112</v>
      </c>
      <c r="D161" s="16" t="s">
        <v>141</v>
      </c>
      <c r="E161" s="352">
        <v>2.4500000000000002</v>
      </c>
      <c r="F161" s="352">
        <v>2.4700000000000002</v>
      </c>
      <c r="G161" s="352">
        <v>2.37</v>
      </c>
      <c r="H161" s="352">
        <v>2.1800000000000002</v>
      </c>
      <c r="I161" s="352">
        <v>1.98</v>
      </c>
      <c r="J161" s="352">
        <v>1.89</v>
      </c>
      <c r="K161" s="352">
        <v>1.52</v>
      </c>
      <c r="L161" s="352">
        <v>1.37</v>
      </c>
      <c r="M161" s="18"/>
      <c r="N161" s="152" t="s">
        <v>459</v>
      </c>
      <c r="O161" s="151" t="s">
        <v>151</v>
      </c>
    </row>
    <row r="162" spans="2:22" outlineLevel="1" x14ac:dyDescent="0.3">
      <c r="C162" s="8" t="s">
        <v>114</v>
      </c>
      <c r="D162" s="16" t="s">
        <v>141</v>
      </c>
      <c r="E162" s="352">
        <v>1.8080192685007819</v>
      </c>
      <c r="F162" s="352">
        <v>1.8319879749787897</v>
      </c>
      <c r="G162" s="352">
        <v>1.5530483236640704</v>
      </c>
      <c r="H162" s="352">
        <v>1.9566133047707275</v>
      </c>
      <c r="I162" s="352">
        <v>1.662817804602037</v>
      </c>
      <c r="J162" s="352">
        <v>1.417778366914104</v>
      </c>
      <c r="K162" s="352">
        <v>1.5069135802469136</v>
      </c>
      <c r="L162" s="352">
        <v>1.1845630767872126</v>
      </c>
      <c r="M162" s="18"/>
      <c r="N162" s="152" t="s">
        <v>474</v>
      </c>
      <c r="O162" s="151" t="s">
        <v>475</v>
      </c>
      <c r="P162" s="151" t="s">
        <v>476</v>
      </c>
      <c r="Q162" s="151" t="s">
        <v>477</v>
      </c>
      <c r="R162" s="6" t="s">
        <v>478</v>
      </c>
    </row>
    <row r="163" spans="2:22" outlineLevel="1" x14ac:dyDescent="0.3">
      <c r="C163" s="8" t="s">
        <v>110</v>
      </c>
      <c r="D163" s="16" t="s">
        <v>141</v>
      </c>
      <c r="E163" s="352">
        <v>0.59</v>
      </c>
      <c r="F163" s="352">
        <v>0.53</v>
      </c>
      <c r="G163" s="352">
        <v>0.85</v>
      </c>
      <c r="H163" s="352">
        <v>0.65</v>
      </c>
      <c r="I163" s="352">
        <v>0.56999999999999995</v>
      </c>
      <c r="J163" s="352">
        <v>0.56000000000000005</v>
      </c>
      <c r="K163" s="352">
        <v>0.59</v>
      </c>
      <c r="L163" s="352">
        <v>0.49</v>
      </c>
      <c r="M163" s="18"/>
      <c r="N163" s="152" t="s">
        <v>459</v>
      </c>
      <c r="O163" s="151" t="s">
        <v>151</v>
      </c>
    </row>
    <row r="164" spans="2:22" outlineLevel="1" x14ac:dyDescent="0.3"/>
    <row r="165" spans="2:22" outlineLevel="1" x14ac:dyDescent="0.3">
      <c r="C165" s="12" t="s">
        <v>451</v>
      </c>
      <c r="D165" s="3" t="s">
        <v>141</v>
      </c>
      <c r="E165" s="14">
        <f xml:space="preserve"> IFERROR( E187 / SUMPRODUCT( E169:E185, 1 / E147:E163 ), 0 )</f>
        <v>1.8980951662386456</v>
      </c>
      <c r="F165" s="14">
        <f t="shared" ref="F165:L165" si="6" xml:space="preserve"> IFERROR( F187 / SUMPRODUCT( F169:F185, 1 / F147:F163 ), 0 )</f>
        <v>1.9155987784135315</v>
      </c>
      <c r="G165" s="14">
        <f t="shared" si="6"/>
        <v>1.7472783799247111</v>
      </c>
      <c r="H165" s="14">
        <f t="shared" si="6"/>
        <v>1.6447283117204392</v>
      </c>
      <c r="I165" s="14">
        <f t="shared" si="6"/>
        <v>1.6192697176414639</v>
      </c>
      <c r="J165" s="14">
        <f t="shared" si="6"/>
        <v>1.4973877603047585</v>
      </c>
      <c r="K165" s="14">
        <f t="shared" si="6"/>
        <v>1.4790035017671681</v>
      </c>
      <c r="L165" s="14">
        <f t="shared" si="6"/>
        <v>1.3175563956975789</v>
      </c>
    </row>
    <row r="166" spans="2:22" outlineLevel="1" x14ac:dyDescent="0.3"/>
    <row r="167" spans="2:22" s="30" customFormat="1" ht="13.5" outlineLevel="1" x14ac:dyDescent="0.35">
      <c r="B167" s="31" t="s">
        <v>250</v>
      </c>
      <c r="C167" s="31"/>
      <c r="D167" s="28"/>
      <c r="E167" s="29"/>
      <c r="F167" s="29"/>
      <c r="G167" s="29"/>
      <c r="H167" s="29"/>
      <c r="I167" s="29"/>
      <c r="J167" s="29"/>
      <c r="K167" s="29"/>
      <c r="L167" s="29"/>
      <c r="M167" s="29"/>
      <c r="N167" s="143" t="s">
        <v>479</v>
      </c>
      <c r="O167" s="143"/>
      <c r="P167" s="143"/>
      <c r="Q167" s="143"/>
      <c r="R167" s="285" t="s">
        <v>457</v>
      </c>
      <c r="S167" s="285" t="s">
        <v>458</v>
      </c>
      <c r="T167" s="143"/>
      <c r="U167" s="143"/>
      <c r="V167" s="146"/>
    </row>
    <row r="168" spans="2:22" outlineLevel="1" x14ac:dyDescent="0.3"/>
    <row r="169" spans="2:22" outlineLevel="1" x14ac:dyDescent="0.3">
      <c r="C169" s="8" t="s">
        <v>80</v>
      </c>
      <c r="D169" s="16" t="s">
        <v>141</v>
      </c>
      <c r="E169" s="359">
        <v>6975</v>
      </c>
      <c r="F169" s="359">
        <v>6756</v>
      </c>
      <c r="G169" s="359">
        <v>6566</v>
      </c>
      <c r="H169" s="359">
        <v>6273</v>
      </c>
      <c r="I169" s="359">
        <v>6308</v>
      </c>
      <c r="J169" s="359">
        <v>5618</v>
      </c>
      <c r="K169" s="359">
        <v>5418</v>
      </c>
      <c r="L169" s="359">
        <v>5309</v>
      </c>
      <c r="M169" s="18"/>
      <c r="N169" s="152" t="s">
        <v>459</v>
      </c>
      <c r="O169" s="151" t="s">
        <v>151</v>
      </c>
      <c r="R169" s="6" t="s">
        <v>460</v>
      </c>
    </row>
    <row r="170" spans="2:22" outlineLevel="1" x14ac:dyDescent="0.3">
      <c r="C170" s="8" t="s">
        <v>82</v>
      </c>
      <c r="D170" s="16" t="s">
        <v>141</v>
      </c>
      <c r="E170" s="359">
        <v>9745</v>
      </c>
      <c r="F170" s="359">
        <v>11553</v>
      </c>
      <c r="G170" s="359">
        <v>10843</v>
      </c>
      <c r="H170" s="359">
        <v>9964</v>
      </c>
      <c r="I170" s="359">
        <v>10483</v>
      </c>
      <c r="J170" s="359">
        <v>10210</v>
      </c>
      <c r="K170" s="359">
        <v>10574</v>
      </c>
      <c r="L170" s="359">
        <v>9167</v>
      </c>
      <c r="M170" s="18"/>
      <c r="N170" s="152" t="s">
        <v>459</v>
      </c>
      <c r="O170" s="151" t="s">
        <v>151</v>
      </c>
    </row>
    <row r="171" spans="2:22" outlineLevel="1" x14ac:dyDescent="0.3">
      <c r="C171" s="8" t="s">
        <v>85</v>
      </c>
      <c r="D171" s="16" t="s">
        <v>141</v>
      </c>
      <c r="E171" s="359">
        <v>1312</v>
      </c>
      <c r="F171" s="359">
        <v>1671</v>
      </c>
      <c r="G171" s="359">
        <v>975</v>
      </c>
      <c r="H171" s="359">
        <v>713</v>
      </c>
      <c r="I171" s="359">
        <v>707</v>
      </c>
      <c r="J171" s="359">
        <v>551</v>
      </c>
      <c r="K171" s="359">
        <v>601</v>
      </c>
      <c r="L171" s="359">
        <v>508</v>
      </c>
      <c r="M171" s="18"/>
      <c r="N171" s="151" t="s">
        <v>461</v>
      </c>
      <c r="O171" s="151" t="s">
        <v>178</v>
      </c>
      <c r="P171" s="151" t="s">
        <v>151</v>
      </c>
      <c r="R171" s="6" t="s">
        <v>462</v>
      </c>
    </row>
    <row r="172" spans="2:22" outlineLevel="1" x14ac:dyDescent="0.3">
      <c r="C172" s="8" t="s">
        <v>87</v>
      </c>
      <c r="D172" s="16" t="s">
        <v>141</v>
      </c>
      <c r="E172" s="359">
        <v>8509</v>
      </c>
      <c r="F172" s="359">
        <v>8109</v>
      </c>
      <c r="G172" s="359">
        <v>7189</v>
      </c>
      <c r="H172" s="359">
        <v>6223</v>
      </c>
      <c r="I172" s="359">
        <v>6515</v>
      </c>
      <c r="J172" s="359">
        <v>5840</v>
      </c>
      <c r="K172" s="359">
        <v>5898</v>
      </c>
      <c r="L172" s="359">
        <v>4828</v>
      </c>
      <c r="M172" s="18"/>
      <c r="N172" s="152" t="s">
        <v>463</v>
      </c>
      <c r="O172" s="151" t="s">
        <v>464</v>
      </c>
      <c r="P172" s="151" t="s">
        <v>465</v>
      </c>
      <c r="Q172" s="151" t="s">
        <v>466</v>
      </c>
      <c r="R172" s="6" t="s">
        <v>467</v>
      </c>
    </row>
    <row r="173" spans="2:22" outlineLevel="1" x14ac:dyDescent="0.3">
      <c r="C173" s="8" t="s">
        <v>89</v>
      </c>
      <c r="D173" s="16" t="s">
        <v>141</v>
      </c>
      <c r="E173" s="359">
        <v>13057</v>
      </c>
      <c r="F173" s="359">
        <v>14052</v>
      </c>
      <c r="G173" s="359">
        <v>14936</v>
      </c>
      <c r="H173" s="359">
        <v>14680</v>
      </c>
      <c r="I173" s="359">
        <v>15336</v>
      </c>
      <c r="J173" s="359">
        <v>13359</v>
      </c>
      <c r="K173" s="359">
        <v>12736</v>
      </c>
      <c r="L173" s="359">
        <v>10984</v>
      </c>
      <c r="M173" s="18"/>
      <c r="N173" s="152" t="s">
        <v>459</v>
      </c>
      <c r="O173" s="151" t="s">
        <v>151</v>
      </c>
      <c r="R173" s="6" t="s">
        <v>468</v>
      </c>
    </row>
    <row r="174" spans="2:22" outlineLevel="1" x14ac:dyDescent="0.3">
      <c r="C174" s="8" t="s">
        <v>91</v>
      </c>
      <c r="D174" s="16" t="s">
        <v>141</v>
      </c>
      <c r="E174" s="359">
        <v>9910</v>
      </c>
      <c r="F174" s="359">
        <v>10348</v>
      </c>
      <c r="G174" s="359">
        <v>7183</v>
      </c>
      <c r="H174" s="359">
        <v>6414</v>
      </c>
      <c r="I174" s="359">
        <v>6000</v>
      </c>
      <c r="J174" s="359">
        <v>5258</v>
      </c>
      <c r="K174" s="359">
        <v>5231</v>
      </c>
      <c r="L174" s="359">
        <v>4546</v>
      </c>
      <c r="M174" s="18"/>
      <c r="N174" s="152" t="s">
        <v>469</v>
      </c>
      <c r="O174" s="151" t="s">
        <v>470</v>
      </c>
      <c r="P174" s="151" t="s">
        <v>471</v>
      </c>
      <c r="Q174" s="151" t="s">
        <v>472</v>
      </c>
      <c r="R174" s="6" t="s">
        <v>473</v>
      </c>
    </row>
    <row r="175" spans="2:22" outlineLevel="1" x14ac:dyDescent="0.3">
      <c r="C175" s="8" t="s">
        <v>94</v>
      </c>
      <c r="D175" s="16" t="s">
        <v>141</v>
      </c>
      <c r="E175" s="359">
        <v>3768</v>
      </c>
      <c r="F175" s="359">
        <v>3576</v>
      </c>
      <c r="G175" s="359">
        <v>3527</v>
      </c>
      <c r="H175" s="359">
        <v>3193</v>
      </c>
      <c r="I175" s="359">
        <v>3626</v>
      </c>
      <c r="J175" s="359">
        <v>3491</v>
      </c>
      <c r="K175" s="359">
        <v>3172</v>
      </c>
      <c r="L175" s="359">
        <v>3074</v>
      </c>
      <c r="M175" s="18"/>
      <c r="N175" s="152" t="s">
        <v>459</v>
      </c>
      <c r="O175" s="151" t="s">
        <v>151</v>
      </c>
    </row>
    <row r="176" spans="2:22" outlineLevel="1" x14ac:dyDescent="0.3">
      <c r="C176" s="8" t="s">
        <v>96</v>
      </c>
      <c r="D176" s="16" t="s">
        <v>141</v>
      </c>
      <c r="E176" s="359">
        <v>6022</v>
      </c>
      <c r="F176" s="359">
        <v>5422</v>
      </c>
      <c r="G176" s="359">
        <v>5318</v>
      </c>
      <c r="H176" s="359">
        <v>6021</v>
      </c>
      <c r="I176" s="359">
        <v>5831</v>
      </c>
      <c r="J176" s="359">
        <v>5774</v>
      </c>
      <c r="K176" s="359">
        <v>6105</v>
      </c>
      <c r="L176" s="359">
        <v>6302</v>
      </c>
      <c r="M176" s="18"/>
      <c r="N176" s="152" t="s">
        <v>459</v>
      </c>
      <c r="O176" s="151" t="s">
        <v>151</v>
      </c>
    </row>
    <row r="177" spans="2:22" outlineLevel="1" x14ac:dyDescent="0.3">
      <c r="C177" s="8" t="s">
        <v>98</v>
      </c>
      <c r="D177" s="16" t="s">
        <v>141</v>
      </c>
      <c r="E177" s="359">
        <v>15740</v>
      </c>
      <c r="F177" s="359">
        <v>14566</v>
      </c>
      <c r="G177" s="359">
        <v>13980</v>
      </c>
      <c r="H177" s="359">
        <v>12635</v>
      </c>
      <c r="I177" s="359">
        <v>12913</v>
      </c>
      <c r="J177" s="359">
        <v>15341</v>
      </c>
      <c r="K177" s="359">
        <v>14871</v>
      </c>
      <c r="L177" s="359">
        <v>13950</v>
      </c>
      <c r="M177" s="18"/>
      <c r="N177" s="152" t="s">
        <v>459</v>
      </c>
      <c r="O177" s="151" t="s">
        <v>151</v>
      </c>
    </row>
    <row r="178" spans="2:22" outlineLevel="1" x14ac:dyDescent="0.3">
      <c r="C178" s="8" t="s">
        <v>100</v>
      </c>
      <c r="D178" s="16" t="s">
        <v>141</v>
      </c>
      <c r="E178" s="359">
        <v>3050</v>
      </c>
      <c r="F178" s="359">
        <v>2893</v>
      </c>
      <c r="G178" s="359">
        <v>3006</v>
      </c>
      <c r="H178" s="359">
        <v>2431</v>
      </c>
      <c r="I178" s="359">
        <v>2172</v>
      </c>
      <c r="J178" s="359">
        <v>2031</v>
      </c>
      <c r="K178" s="359">
        <v>2010</v>
      </c>
      <c r="L178" s="359">
        <v>2097</v>
      </c>
      <c r="M178" s="18"/>
      <c r="N178" s="152" t="s">
        <v>459</v>
      </c>
      <c r="O178" s="151" t="s">
        <v>151</v>
      </c>
    </row>
    <row r="179" spans="2:22" outlineLevel="1" x14ac:dyDescent="0.3">
      <c r="C179" s="8" t="s">
        <v>102</v>
      </c>
      <c r="D179" s="16" t="s">
        <v>141</v>
      </c>
      <c r="E179" s="359">
        <v>11506</v>
      </c>
      <c r="F179" s="359">
        <v>12879</v>
      </c>
      <c r="G179" s="359">
        <v>10406</v>
      </c>
      <c r="H179" s="359">
        <v>10082</v>
      </c>
      <c r="I179" s="359">
        <v>9673</v>
      </c>
      <c r="J179" s="359">
        <v>7913</v>
      </c>
      <c r="K179" s="359">
        <v>8298</v>
      </c>
      <c r="L179" s="359">
        <v>6573</v>
      </c>
      <c r="M179" s="18"/>
      <c r="N179" s="152" t="s">
        <v>459</v>
      </c>
      <c r="O179" s="151" t="s">
        <v>151</v>
      </c>
    </row>
    <row r="180" spans="2:22" outlineLevel="1" x14ac:dyDescent="0.3">
      <c r="C180" s="8" t="s">
        <v>104</v>
      </c>
      <c r="D180" s="16" t="s">
        <v>141</v>
      </c>
      <c r="E180" s="359">
        <v>3730</v>
      </c>
      <c r="F180" s="359">
        <v>3783</v>
      </c>
      <c r="G180" s="359">
        <v>3743</v>
      </c>
      <c r="H180" s="359">
        <v>3552</v>
      </c>
      <c r="I180" s="359">
        <v>3526</v>
      </c>
      <c r="J180" s="359">
        <v>3070</v>
      </c>
      <c r="K180" s="359">
        <v>3093</v>
      </c>
      <c r="L180" s="359">
        <v>3066</v>
      </c>
      <c r="M180" s="18"/>
      <c r="N180" s="153" t="s">
        <v>459</v>
      </c>
      <c r="O180" s="151" t="s">
        <v>151</v>
      </c>
    </row>
    <row r="181" spans="2:22" outlineLevel="1" x14ac:dyDescent="0.3">
      <c r="C181" s="8" t="s">
        <v>106</v>
      </c>
      <c r="D181" s="16" t="s">
        <v>141</v>
      </c>
      <c r="E181" s="359">
        <v>2588</v>
      </c>
      <c r="F181" s="359">
        <v>2320</v>
      </c>
      <c r="G181" s="359">
        <v>2660</v>
      </c>
      <c r="H181" s="359">
        <v>2427</v>
      </c>
      <c r="I181" s="359">
        <v>2275</v>
      </c>
      <c r="J181" s="359">
        <v>1800</v>
      </c>
      <c r="K181" s="359">
        <v>2019</v>
      </c>
      <c r="L181" s="359">
        <v>1766</v>
      </c>
      <c r="M181" s="18"/>
      <c r="N181" s="152" t="s">
        <v>459</v>
      </c>
      <c r="O181" s="151" t="s">
        <v>151</v>
      </c>
    </row>
    <row r="182" spans="2:22" outlineLevel="1" x14ac:dyDescent="0.3">
      <c r="C182" s="8" t="s">
        <v>108</v>
      </c>
      <c r="D182" s="16" t="s">
        <v>141</v>
      </c>
      <c r="E182" s="359">
        <v>365</v>
      </c>
      <c r="F182" s="359">
        <v>307</v>
      </c>
      <c r="G182" s="359">
        <v>583</v>
      </c>
      <c r="H182" s="359">
        <v>398</v>
      </c>
      <c r="I182" s="359">
        <v>468</v>
      </c>
      <c r="J182" s="359">
        <v>389</v>
      </c>
      <c r="K182" s="359">
        <v>312</v>
      </c>
      <c r="L182" s="359">
        <v>282</v>
      </c>
      <c r="M182" s="18"/>
      <c r="N182" s="152" t="s">
        <v>459</v>
      </c>
      <c r="O182" s="151" t="s">
        <v>151</v>
      </c>
    </row>
    <row r="183" spans="2:22" outlineLevel="1" x14ac:dyDescent="0.3">
      <c r="C183" s="8" t="s">
        <v>112</v>
      </c>
      <c r="D183" s="16" t="s">
        <v>141</v>
      </c>
      <c r="E183" s="359">
        <v>4983</v>
      </c>
      <c r="F183" s="359">
        <v>5023</v>
      </c>
      <c r="G183" s="359">
        <v>5012</v>
      </c>
      <c r="H183" s="359">
        <v>4609</v>
      </c>
      <c r="I183" s="359">
        <v>4255</v>
      </c>
      <c r="J183" s="359">
        <v>4087</v>
      </c>
      <c r="K183" s="359">
        <v>3320</v>
      </c>
      <c r="L183" s="359">
        <v>3067</v>
      </c>
      <c r="M183" s="18"/>
      <c r="N183" s="152" t="s">
        <v>459</v>
      </c>
      <c r="O183" s="151" t="s">
        <v>151</v>
      </c>
    </row>
    <row r="184" spans="2:22" outlineLevel="1" x14ac:dyDescent="0.3">
      <c r="C184" s="8" t="s">
        <v>114</v>
      </c>
      <c r="D184" s="16" t="s">
        <v>141</v>
      </c>
      <c r="E184" s="359">
        <v>2899</v>
      </c>
      <c r="F184" s="359">
        <v>3025</v>
      </c>
      <c r="G184" s="359">
        <v>2532</v>
      </c>
      <c r="H184" s="359">
        <v>3176</v>
      </c>
      <c r="I184" s="359">
        <v>2712</v>
      </c>
      <c r="J184" s="359">
        <v>2354</v>
      </c>
      <c r="K184" s="359">
        <v>2513</v>
      </c>
      <c r="L184" s="359">
        <v>2002</v>
      </c>
      <c r="M184" s="18"/>
      <c r="N184" s="152" t="s">
        <v>474</v>
      </c>
      <c r="O184" s="151" t="s">
        <v>475</v>
      </c>
      <c r="P184" s="151" t="s">
        <v>476</v>
      </c>
      <c r="Q184" s="151" t="s">
        <v>477</v>
      </c>
      <c r="R184" s="6" t="s">
        <v>478</v>
      </c>
    </row>
    <row r="185" spans="2:22" outlineLevel="1" x14ac:dyDescent="0.3">
      <c r="C185" s="8" t="s">
        <v>110</v>
      </c>
      <c r="D185" s="16" t="s">
        <v>141</v>
      </c>
      <c r="E185" s="359">
        <v>386</v>
      </c>
      <c r="F185" s="359">
        <v>346</v>
      </c>
      <c r="G185" s="359">
        <v>559</v>
      </c>
      <c r="H185" s="359">
        <v>437</v>
      </c>
      <c r="I185" s="359">
        <v>389</v>
      </c>
      <c r="J185" s="359">
        <v>383</v>
      </c>
      <c r="K185" s="359">
        <v>403</v>
      </c>
      <c r="L185" s="359">
        <v>343</v>
      </c>
      <c r="M185" s="18"/>
      <c r="N185" s="152" t="s">
        <v>459</v>
      </c>
      <c r="O185" s="151" t="s">
        <v>151</v>
      </c>
    </row>
    <row r="186" spans="2:22" outlineLevel="1" x14ac:dyDescent="0.3"/>
    <row r="187" spans="2:22" outlineLevel="1" x14ac:dyDescent="0.3">
      <c r="C187" s="12" t="s">
        <v>424</v>
      </c>
      <c r="D187" s="3" t="s">
        <v>141</v>
      </c>
      <c r="E187" s="15">
        <f>SUM(E169:E185)</f>
        <v>104545</v>
      </c>
      <c r="F187" s="15">
        <f t="shared" ref="F187:L187" si="7">SUM(F169:F185)</f>
        <v>106629</v>
      </c>
      <c r="G187" s="15">
        <f t="shared" si="7"/>
        <v>99018</v>
      </c>
      <c r="H187" s="15">
        <f t="shared" si="7"/>
        <v>93228</v>
      </c>
      <c r="I187" s="15">
        <f t="shared" si="7"/>
        <v>93189</v>
      </c>
      <c r="J187" s="15">
        <f t="shared" si="7"/>
        <v>87469</v>
      </c>
      <c r="K187" s="15">
        <f t="shared" si="7"/>
        <v>86574</v>
      </c>
      <c r="L187" s="15">
        <f t="shared" si="7"/>
        <v>77864</v>
      </c>
    </row>
    <row r="189" spans="2:22" ht="13.5" x14ac:dyDescent="0.35">
      <c r="B189" s="9" t="s">
        <v>166</v>
      </c>
      <c r="C189" s="9"/>
      <c r="D189" s="10"/>
      <c r="E189" s="9"/>
      <c r="F189" s="9"/>
      <c r="G189" s="9"/>
      <c r="H189" s="9"/>
      <c r="I189" s="9"/>
      <c r="J189" s="9"/>
      <c r="K189" s="9"/>
      <c r="L189" s="9"/>
      <c r="M189" s="9"/>
      <c r="N189" s="144"/>
      <c r="O189" s="144"/>
      <c r="P189" s="144"/>
      <c r="Q189" s="144"/>
      <c r="R189" s="144"/>
      <c r="S189" s="144"/>
      <c r="T189" s="144"/>
      <c r="U189" s="144"/>
      <c r="V189" s="145"/>
    </row>
    <row r="190" spans="2:22" outlineLevel="1" x14ac:dyDescent="0.3"/>
    <row r="191" spans="2:22" s="30" customFormat="1" ht="13.5" outlineLevel="1" x14ac:dyDescent="0.35">
      <c r="B191" s="31" t="s">
        <v>480</v>
      </c>
      <c r="C191" s="31"/>
      <c r="D191" s="28"/>
      <c r="E191" s="29"/>
      <c r="F191" s="29"/>
      <c r="G191" s="29"/>
      <c r="H191" s="29"/>
      <c r="I191" s="29"/>
      <c r="J191" s="29"/>
      <c r="K191" s="29"/>
      <c r="L191" s="29"/>
      <c r="M191" s="29"/>
      <c r="N191" s="143"/>
      <c r="O191" s="143"/>
      <c r="P191" s="143"/>
      <c r="Q191" s="143"/>
      <c r="R191" s="143"/>
      <c r="S191" s="143"/>
      <c r="T191" s="143"/>
      <c r="U191" s="143"/>
      <c r="V191" s="146"/>
    </row>
    <row r="192" spans="2:22" outlineLevel="1" x14ac:dyDescent="0.3"/>
    <row r="193" spans="2:22" outlineLevel="1" x14ac:dyDescent="0.3">
      <c r="C193" s="8" t="s">
        <v>80</v>
      </c>
      <c r="D193" s="16" t="s">
        <v>141</v>
      </c>
      <c r="E193" s="360"/>
      <c r="F193" s="360"/>
      <c r="G193" s="359">
        <v>475</v>
      </c>
      <c r="H193" s="359">
        <v>411</v>
      </c>
      <c r="I193" s="359">
        <v>430</v>
      </c>
      <c r="J193" s="359">
        <v>396</v>
      </c>
      <c r="K193" s="359">
        <v>342</v>
      </c>
      <c r="L193" s="359">
        <v>296</v>
      </c>
      <c r="M193" s="18"/>
      <c r="N193" s="6" t="s">
        <v>481</v>
      </c>
    </row>
    <row r="194" spans="2:22" outlineLevel="1" x14ac:dyDescent="0.3">
      <c r="C194" s="8" t="s">
        <v>82</v>
      </c>
      <c r="D194" s="16" t="s">
        <v>141</v>
      </c>
      <c r="E194" s="360"/>
      <c r="F194" s="360"/>
      <c r="G194" s="359">
        <v>265</v>
      </c>
      <c r="H194" s="359">
        <v>223</v>
      </c>
      <c r="I194" s="359">
        <v>242</v>
      </c>
      <c r="J194" s="359">
        <v>221</v>
      </c>
      <c r="K194" s="359">
        <v>221</v>
      </c>
      <c r="L194" s="359">
        <v>216</v>
      </c>
      <c r="M194" s="18"/>
      <c r="N194" s="6" t="s">
        <v>482</v>
      </c>
    </row>
    <row r="195" spans="2:22" outlineLevel="1" x14ac:dyDescent="0.3">
      <c r="C195" s="8" t="s">
        <v>85</v>
      </c>
      <c r="D195" s="16" t="s">
        <v>141</v>
      </c>
      <c r="E195" s="360"/>
      <c r="F195" s="360"/>
      <c r="G195" s="360"/>
      <c r="H195" s="360"/>
      <c r="I195" s="360"/>
      <c r="J195" s="360"/>
      <c r="K195" s="359">
        <v>4</v>
      </c>
      <c r="L195" s="359">
        <v>10</v>
      </c>
      <c r="M195" s="18"/>
      <c r="N195" s="6" t="s">
        <v>483</v>
      </c>
    </row>
    <row r="196" spans="2:22" outlineLevel="1" x14ac:dyDescent="0.3">
      <c r="C196" s="8" t="s">
        <v>87</v>
      </c>
      <c r="D196" s="16" t="s">
        <v>141</v>
      </c>
      <c r="E196" s="360"/>
      <c r="F196" s="360"/>
      <c r="G196" s="359">
        <v>463</v>
      </c>
      <c r="H196" s="359">
        <v>389</v>
      </c>
      <c r="I196" s="359">
        <v>353</v>
      </c>
      <c r="J196" s="359">
        <v>310</v>
      </c>
      <c r="K196" s="359">
        <v>402</v>
      </c>
      <c r="L196" s="359">
        <v>384</v>
      </c>
      <c r="M196" s="18"/>
      <c r="N196" s="6" t="s">
        <v>484</v>
      </c>
    </row>
    <row r="197" spans="2:22" outlineLevel="1" x14ac:dyDescent="0.3">
      <c r="C197" s="8" t="s">
        <v>89</v>
      </c>
      <c r="D197" s="16" t="s">
        <v>141</v>
      </c>
      <c r="E197" s="360"/>
      <c r="F197" s="360"/>
      <c r="G197" s="359">
        <v>1168</v>
      </c>
      <c r="H197" s="359">
        <v>809</v>
      </c>
      <c r="I197" s="359">
        <v>901</v>
      </c>
      <c r="J197" s="359">
        <v>662</v>
      </c>
      <c r="K197" s="359">
        <v>725</v>
      </c>
      <c r="L197" s="359">
        <v>926</v>
      </c>
      <c r="M197" s="18"/>
      <c r="N197" s="150" t="s">
        <v>483</v>
      </c>
    </row>
    <row r="198" spans="2:22" outlineLevel="1" x14ac:dyDescent="0.3">
      <c r="C198" s="8" t="s">
        <v>91</v>
      </c>
      <c r="D198" s="16" t="s">
        <v>141</v>
      </c>
      <c r="E198" s="360"/>
      <c r="F198" s="360"/>
      <c r="G198" s="359">
        <v>182</v>
      </c>
      <c r="H198" s="359">
        <v>189</v>
      </c>
      <c r="I198" s="359">
        <v>165</v>
      </c>
      <c r="J198" s="359">
        <v>141</v>
      </c>
      <c r="K198" s="359">
        <v>93</v>
      </c>
      <c r="L198" s="359">
        <v>160</v>
      </c>
      <c r="M198" s="18"/>
      <c r="N198" s="6" t="s">
        <v>485</v>
      </c>
    </row>
    <row r="199" spans="2:22" outlineLevel="1" x14ac:dyDescent="0.3">
      <c r="C199" s="8" t="s">
        <v>94</v>
      </c>
      <c r="D199" s="16" t="s">
        <v>141</v>
      </c>
      <c r="E199" s="360"/>
      <c r="F199" s="360"/>
      <c r="G199" s="359">
        <v>487</v>
      </c>
      <c r="H199" s="359">
        <v>492</v>
      </c>
      <c r="I199" s="359">
        <v>448</v>
      </c>
      <c r="J199" s="359">
        <v>401</v>
      </c>
      <c r="K199" s="359">
        <v>389</v>
      </c>
      <c r="L199" s="359">
        <v>453</v>
      </c>
      <c r="M199" s="18"/>
      <c r="N199" s="6" t="s">
        <v>486</v>
      </c>
    </row>
    <row r="200" spans="2:22" outlineLevel="1" x14ac:dyDescent="0.3">
      <c r="C200" s="8" t="s">
        <v>96</v>
      </c>
      <c r="D200" s="16" t="s">
        <v>141</v>
      </c>
      <c r="E200" s="360"/>
      <c r="F200" s="360"/>
      <c r="G200" s="359">
        <v>1655</v>
      </c>
      <c r="H200" s="359">
        <v>1403</v>
      </c>
      <c r="I200" s="359">
        <v>1214</v>
      </c>
      <c r="J200" s="359">
        <v>1062</v>
      </c>
      <c r="K200" s="359">
        <v>1032</v>
      </c>
      <c r="L200" s="359">
        <v>1058</v>
      </c>
      <c r="M200" s="18"/>
      <c r="N200" s="6" t="s">
        <v>487</v>
      </c>
    </row>
    <row r="201" spans="2:22" outlineLevel="1" x14ac:dyDescent="0.3">
      <c r="C201" s="8" t="s">
        <v>98</v>
      </c>
      <c r="D201" s="16" t="s">
        <v>141</v>
      </c>
      <c r="E201" s="360"/>
      <c r="F201" s="360"/>
      <c r="G201" s="359">
        <v>808</v>
      </c>
      <c r="H201" s="359">
        <v>986</v>
      </c>
      <c r="I201" s="359">
        <v>941</v>
      </c>
      <c r="J201" s="359">
        <v>650</v>
      </c>
      <c r="K201" s="359">
        <v>566</v>
      </c>
      <c r="L201" s="359">
        <v>774</v>
      </c>
      <c r="M201" s="18"/>
      <c r="N201" s="6" t="s">
        <v>488</v>
      </c>
    </row>
    <row r="202" spans="2:22" outlineLevel="1" x14ac:dyDescent="0.3">
      <c r="C202" s="8" t="s">
        <v>100</v>
      </c>
      <c r="D202" s="16" t="s">
        <v>141</v>
      </c>
      <c r="E202" s="360"/>
      <c r="F202" s="360"/>
      <c r="G202" s="359">
        <v>140</v>
      </c>
      <c r="H202" s="359">
        <v>167</v>
      </c>
      <c r="I202" s="359">
        <v>148</v>
      </c>
      <c r="J202" s="359">
        <v>151</v>
      </c>
      <c r="K202" s="359">
        <v>179</v>
      </c>
      <c r="L202" s="359">
        <v>146</v>
      </c>
      <c r="M202" s="18"/>
      <c r="N202" s="6" t="s">
        <v>489</v>
      </c>
    </row>
    <row r="203" spans="2:22" outlineLevel="1" x14ac:dyDescent="0.3">
      <c r="C203" s="8" t="s">
        <v>102</v>
      </c>
      <c r="D203" s="16" t="s">
        <v>141</v>
      </c>
      <c r="E203" s="360"/>
      <c r="F203" s="360"/>
      <c r="G203" s="359">
        <v>1947</v>
      </c>
      <c r="H203" s="359">
        <v>1842</v>
      </c>
      <c r="I203" s="359">
        <v>1769</v>
      </c>
      <c r="J203" s="359">
        <v>1682</v>
      </c>
      <c r="K203" s="359">
        <v>1692</v>
      </c>
      <c r="L203" s="359">
        <v>1602</v>
      </c>
      <c r="M203" s="18"/>
      <c r="N203" s="6" t="s">
        <v>490</v>
      </c>
    </row>
    <row r="204" spans="2:22" outlineLevel="1" x14ac:dyDescent="0.3"/>
    <row r="205" spans="2:22" outlineLevel="1" x14ac:dyDescent="0.3">
      <c r="C205" s="2" t="s">
        <v>424</v>
      </c>
      <c r="D205" s="3" t="s">
        <v>141</v>
      </c>
      <c r="E205" s="15">
        <f xml:space="preserve"> SUM( E193:E203 )</f>
        <v>0</v>
      </c>
      <c r="F205" s="15">
        <f t="shared" ref="F205:L205" si="8" xml:space="preserve"> SUM( F193:F203 )</f>
        <v>0</v>
      </c>
      <c r="G205" s="15">
        <f t="shared" si="8"/>
        <v>7590</v>
      </c>
      <c r="H205" s="15">
        <f t="shared" si="8"/>
        <v>6911</v>
      </c>
      <c r="I205" s="15">
        <f t="shared" si="8"/>
        <v>6611</v>
      </c>
      <c r="J205" s="15">
        <f t="shared" si="8"/>
        <v>5676</v>
      </c>
      <c r="K205" s="15">
        <f t="shared" si="8"/>
        <v>5645</v>
      </c>
      <c r="L205" s="15">
        <f t="shared" si="8"/>
        <v>6025</v>
      </c>
    </row>
    <row r="206" spans="2:22" outlineLevel="1" x14ac:dyDescent="0.3"/>
    <row r="207" spans="2:22" s="30" customFormat="1" ht="13.5" outlineLevel="1" x14ac:dyDescent="0.35">
      <c r="B207" s="31" t="s">
        <v>491</v>
      </c>
      <c r="C207" s="31"/>
      <c r="D207" s="28"/>
      <c r="E207" s="29"/>
      <c r="F207" s="29"/>
      <c r="G207" s="29"/>
      <c r="H207" s="29"/>
      <c r="I207" s="29"/>
      <c r="J207" s="29"/>
      <c r="K207" s="29"/>
      <c r="L207" s="29"/>
      <c r="M207" s="29"/>
      <c r="N207" s="143" t="s">
        <v>492</v>
      </c>
      <c r="O207" s="143"/>
      <c r="P207" s="143"/>
      <c r="Q207" s="143"/>
      <c r="R207" s="143" t="s">
        <v>182</v>
      </c>
      <c r="S207" s="143"/>
      <c r="T207" s="143"/>
      <c r="U207" s="143"/>
      <c r="V207" s="146"/>
    </row>
    <row r="208" spans="2:22" outlineLevel="1" x14ac:dyDescent="0.3"/>
    <row r="209" spans="2:22" outlineLevel="1" x14ac:dyDescent="0.3">
      <c r="C209" s="8" t="s">
        <v>80</v>
      </c>
      <c r="D209" s="16" t="s">
        <v>129</v>
      </c>
      <c r="E209" s="360"/>
      <c r="F209" s="360"/>
      <c r="G209" s="359">
        <v>2712.1959999999995</v>
      </c>
      <c r="H209" s="359">
        <v>2711.4470000000001</v>
      </c>
      <c r="I209" s="359">
        <v>2743.415</v>
      </c>
      <c r="J209" s="359">
        <v>2756.2719999999999</v>
      </c>
      <c r="K209" s="359">
        <v>2791.4789999999998</v>
      </c>
      <c r="L209" s="359">
        <v>2811.4470000000001</v>
      </c>
      <c r="M209" s="18"/>
      <c r="N209" s="6"/>
    </row>
    <row r="210" spans="2:22" outlineLevel="1" x14ac:dyDescent="0.3">
      <c r="C210" s="8" t="s">
        <v>82</v>
      </c>
      <c r="D210" s="16" t="s">
        <v>129</v>
      </c>
      <c r="E210" s="360"/>
      <c r="F210" s="360"/>
      <c r="G210" s="359">
        <v>1414.8869999999999</v>
      </c>
      <c r="H210" s="359">
        <v>1433.2999999999997</v>
      </c>
      <c r="I210" s="359">
        <v>1438.2340000000002</v>
      </c>
      <c r="J210" s="359">
        <v>1449.9090000000001</v>
      </c>
      <c r="K210" s="359">
        <v>1458.152</v>
      </c>
      <c r="L210" s="359">
        <v>1464.3320000000001</v>
      </c>
      <c r="M210" s="18"/>
      <c r="N210" s="6"/>
    </row>
    <row r="211" spans="2:22" outlineLevel="1" x14ac:dyDescent="0.3">
      <c r="C211" s="8" t="s">
        <v>85</v>
      </c>
      <c r="D211" s="16" t="s">
        <v>129</v>
      </c>
      <c r="E211" s="360"/>
      <c r="F211" s="360"/>
      <c r="G211" s="360"/>
      <c r="H211" s="360"/>
      <c r="I211" s="360"/>
      <c r="J211" s="360"/>
      <c r="K211" s="359">
        <v>21.071000000000002</v>
      </c>
      <c r="L211" s="359">
        <v>20.922390054644801</v>
      </c>
      <c r="M211" s="18"/>
      <c r="N211" s="6"/>
    </row>
    <row r="212" spans="2:22" outlineLevel="1" x14ac:dyDescent="0.3">
      <c r="C212" s="8" t="s">
        <v>87</v>
      </c>
      <c r="D212" s="16" t="s">
        <v>129</v>
      </c>
      <c r="E212" s="360"/>
      <c r="F212" s="360"/>
      <c r="G212" s="359">
        <v>1242.576</v>
      </c>
      <c r="H212" s="359">
        <v>1248.567</v>
      </c>
      <c r="I212" s="359">
        <v>1255.797</v>
      </c>
      <c r="J212" s="359">
        <v>1264.011</v>
      </c>
      <c r="K212" s="359">
        <v>1269.944</v>
      </c>
      <c r="L212" s="359">
        <v>1283.7239999999999</v>
      </c>
      <c r="M212" s="18"/>
      <c r="N212" s="6"/>
    </row>
    <row r="213" spans="2:22" outlineLevel="1" x14ac:dyDescent="0.3">
      <c r="C213" s="8" t="s">
        <v>89</v>
      </c>
      <c r="D213" s="16" t="s">
        <v>129</v>
      </c>
      <c r="E213" s="360"/>
      <c r="F213" s="360"/>
      <c r="G213" s="359">
        <v>3998.0690000000004</v>
      </c>
      <c r="H213" s="359">
        <v>4029.3120000000004</v>
      </c>
      <c r="I213" s="359">
        <v>4078.6640000000002</v>
      </c>
      <c r="J213" s="359">
        <v>4130.8130000000001</v>
      </c>
      <c r="K213" s="359">
        <v>4149.9849999999997</v>
      </c>
      <c r="L213" s="359">
        <v>4210.0188241083097</v>
      </c>
      <c r="M213" s="18"/>
      <c r="N213" s="6" t="s">
        <v>455</v>
      </c>
    </row>
    <row r="214" spans="2:22" outlineLevel="1" x14ac:dyDescent="0.3">
      <c r="C214" s="8" t="s">
        <v>91</v>
      </c>
      <c r="D214" s="16" t="s">
        <v>129</v>
      </c>
      <c r="E214" s="360"/>
      <c r="F214" s="360"/>
      <c r="G214" s="359">
        <v>720.61466666666729</v>
      </c>
      <c r="H214" s="359">
        <v>724.31825000000026</v>
      </c>
      <c r="I214" s="359">
        <v>733.50299242424319</v>
      </c>
      <c r="J214" s="359">
        <v>746.38099999999997</v>
      </c>
      <c r="K214" s="359">
        <v>758.08733333333305</v>
      </c>
      <c r="L214" s="359">
        <v>765.30600000000004</v>
      </c>
      <c r="M214" s="18"/>
      <c r="N214" s="6"/>
    </row>
    <row r="215" spans="2:22" outlineLevel="1" x14ac:dyDescent="0.3">
      <c r="C215" s="8" t="s">
        <v>94</v>
      </c>
      <c r="D215" s="16" t="s">
        <v>129</v>
      </c>
      <c r="E215" s="360"/>
      <c r="F215" s="360"/>
      <c r="G215" s="359">
        <v>1937.2839999999999</v>
      </c>
      <c r="H215" s="359">
        <v>1948.0515000000003</v>
      </c>
      <c r="I215" s="359">
        <v>1962.9179999999999</v>
      </c>
      <c r="J215" s="359">
        <v>1978.1320000000001</v>
      </c>
      <c r="K215" s="359">
        <v>1986.644</v>
      </c>
      <c r="L215" s="359">
        <v>1998.931</v>
      </c>
      <c r="M215" s="18"/>
      <c r="N215" s="6"/>
    </row>
    <row r="216" spans="2:22" outlineLevel="1" x14ac:dyDescent="0.3">
      <c r="C216" s="8" t="s">
        <v>96</v>
      </c>
      <c r="D216" s="16" t="s">
        <v>129</v>
      </c>
      <c r="E216" s="360"/>
      <c r="F216" s="360"/>
      <c r="G216" s="359">
        <v>5689.3329999999996</v>
      </c>
      <c r="H216" s="359">
        <v>5744.2039999999997</v>
      </c>
      <c r="I216" s="359">
        <v>5795.3780000000006</v>
      </c>
      <c r="J216" s="359">
        <v>5838.3990000000003</v>
      </c>
      <c r="K216" s="359">
        <v>5899.9390000000003</v>
      </c>
      <c r="L216" s="359">
        <v>5976.4309999999996</v>
      </c>
      <c r="M216" s="18"/>
      <c r="N216" s="6"/>
    </row>
    <row r="217" spans="2:22" outlineLevel="1" x14ac:dyDescent="0.3">
      <c r="C217" s="8" t="s">
        <v>98</v>
      </c>
      <c r="D217" s="16" t="s">
        <v>129</v>
      </c>
      <c r="E217" s="360"/>
      <c r="F217" s="360"/>
      <c r="G217" s="359">
        <v>3246.4740000000006</v>
      </c>
      <c r="H217" s="359">
        <v>3268.3395</v>
      </c>
      <c r="I217" s="359">
        <v>3289.6909999999998</v>
      </c>
      <c r="J217" s="359">
        <v>3315.6660000000002</v>
      </c>
      <c r="K217" s="359">
        <v>3342.0329999999999</v>
      </c>
      <c r="L217" s="359">
        <v>3376.857</v>
      </c>
      <c r="M217" s="18"/>
      <c r="N217" s="6"/>
    </row>
    <row r="218" spans="2:22" outlineLevel="1" x14ac:dyDescent="0.3">
      <c r="C218" s="8" t="s">
        <v>100</v>
      </c>
      <c r="D218" s="16" t="s">
        <v>129</v>
      </c>
      <c r="E218" s="360"/>
      <c r="F218" s="360"/>
      <c r="G218" s="359">
        <v>1210.396</v>
      </c>
      <c r="H218" s="359">
        <v>1220.2959999999998</v>
      </c>
      <c r="I218" s="359">
        <v>1230.3919999999998</v>
      </c>
      <c r="J218" s="359">
        <v>1238.193</v>
      </c>
      <c r="K218" s="359">
        <v>1249.4469999999999</v>
      </c>
      <c r="L218" s="359">
        <v>1258.5229999999999</v>
      </c>
      <c r="M218" s="18"/>
      <c r="N218" s="6"/>
    </row>
    <row r="219" spans="2:22" outlineLevel="1" x14ac:dyDescent="0.3">
      <c r="C219" s="8" t="s">
        <v>102</v>
      </c>
      <c r="D219" s="16" t="s">
        <v>129</v>
      </c>
      <c r="E219" s="360"/>
      <c r="F219" s="360"/>
      <c r="G219" s="359">
        <v>2244.73</v>
      </c>
      <c r="H219" s="359">
        <v>2258.3679999999999</v>
      </c>
      <c r="I219" s="359">
        <v>2271.9151739726062</v>
      </c>
      <c r="J219" s="359">
        <v>2283.1219493150702</v>
      </c>
      <c r="K219" s="359">
        <v>2299.1619999999998</v>
      </c>
      <c r="L219" s="359">
        <v>2312.9789999999998</v>
      </c>
      <c r="M219" s="18"/>
      <c r="N219" s="6"/>
    </row>
    <row r="220" spans="2:22" outlineLevel="1" x14ac:dyDescent="0.3"/>
    <row r="221" spans="2:22" outlineLevel="1" x14ac:dyDescent="0.3">
      <c r="C221" s="2" t="s">
        <v>424</v>
      </c>
      <c r="D221" s="3" t="s">
        <v>129</v>
      </c>
      <c r="E221" s="15">
        <f t="shared" ref="E221:L221" si="9">SUM(E209:E219)</f>
        <v>0</v>
      </c>
      <c r="F221" s="15">
        <f t="shared" si="9"/>
        <v>0</v>
      </c>
      <c r="G221" s="15">
        <f t="shared" si="9"/>
        <v>24416.559666666668</v>
      </c>
      <c r="H221" s="15">
        <f t="shared" si="9"/>
        <v>24586.203249999999</v>
      </c>
      <c r="I221" s="15">
        <f t="shared" si="9"/>
        <v>24799.90716639685</v>
      </c>
      <c r="J221" s="15">
        <f t="shared" si="9"/>
        <v>25000.897949315073</v>
      </c>
      <c r="K221" s="15">
        <f t="shared" si="9"/>
        <v>25225.943333333329</v>
      </c>
      <c r="L221" s="15">
        <f t="shared" si="9"/>
        <v>25479.471214162957</v>
      </c>
    </row>
    <row r="223" spans="2:22" ht="13.5" x14ac:dyDescent="0.35">
      <c r="B223" s="9" t="s">
        <v>167</v>
      </c>
      <c r="C223" s="9"/>
      <c r="D223" s="10"/>
      <c r="E223" s="9"/>
      <c r="F223" s="9"/>
      <c r="G223" s="9"/>
      <c r="H223" s="9"/>
      <c r="I223" s="9"/>
      <c r="J223" s="9"/>
      <c r="K223" s="9"/>
      <c r="L223" s="9"/>
      <c r="M223" s="9"/>
      <c r="N223" s="144"/>
      <c r="O223" s="144"/>
      <c r="P223" s="144"/>
      <c r="Q223" s="144"/>
      <c r="R223" s="144"/>
      <c r="S223" s="144"/>
      <c r="T223" s="144"/>
      <c r="U223" s="144"/>
      <c r="V223" s="145"/>
    </row>
    <row r="224" spans="2:22" outlineLevel="1" x14ac:dyDescent="0.3"/>
    <row r="225" spans="2:22" s="30" customFormat="1" ht="13.5" outlineLevel="1" x14ac:dyDescent="0.35">
      <c r="B225" s="31" t="s">
        <v>382</v>
      </c>
      <c r="C225" s="31"/>
      <c r="D225" s="28"/>
      <c r="E225" s="29"/>
      <c r="F225" s="29"/>
      <c r="G225" s="29"/>
      <c r="H225" s="29"/>
      <c r="I225" s="29"/>
      <c r="J225" s="29"/>
      <c r="K225" s="29"/>
      <c r="L225" s="29"/>
      <c r="M225" s="29"/>
      <c r="N225" s="350" t="s">
        <v>272</v>
      </c>
      <c r="O225" s="350"/>
      <c r="P225" s="350"/>
      <c r="Q225" s="350"/>
      <c r="R225" s="350"/>
      <c r="S225" s="143"/>
      <c r="T225" s="143"/>
      <c r="U225" s="143"/>
      <c r="V225" s="146"/>
    </row>
    <row r="226" spans="2:22" outlineLevel="1" x14ac:dyDescent="0.3"/>
    <row r="227" spans="2:22" outlineLevel="1" x14ac:dyDescent="0.3">
      <c r="C227" s="8" t="s">
        <v>80</v>
      </c>
      <c r="D227" s="16" t="s">
        <v>141</v>
      </c>
      <c r="E227" s="359">
        <v>101</v>
      </c>
      <c r="F227" s="359">
        <v>89</v>
      </c>
      <c r="G227" s="359">
        <v>90</v>
      </c>
      <c r="H227" s="359">
        <v>35</v>
      </c>
      <c r="I227" s="359">
        <v>32</v>
      </c>
      <c r="J227" s="359">
        <v>30</v>
      </c>
      <c r="K227" s="359">
        <v>25</v>
      </c>
      <c r="L227" s="359">
        <v>35</v>
      </c>
      <c r="M227" s="18"/>
      <c r="S227" s="152"/>
      <c r="T227" s="152"/>
      <c r="U227" s="152"/>
    </row>
    <row r="228" spans="2:22" outlineLevel="1" x14ac:dyDescent="0.3">
      <c r="C228" s="8" t="s">
        <v>82</v>
      </c>
      <c r="D228" s="16" t="s">
        <v>141</v>
      </c>
      <c r="E228" s="359">
        <v>110</v>
      </c>
      <c r="F228" s="359">
        <v>66</v>
      </c>
      <c r="G228" s="359">
        <v>59</v>
      </c>
      <c r="H228" s="359">
        <v>57.41</v>
      </c>
      <c r="I228" s="359">
        <v>28.85</v>
      </c>
      <c r="J228" s="359">
        <v>27.69</v>
      </c>
      <c r="K228" s="359">
        <v>27.58</v>
      </c>
      <c r="L228" s="359">
        <v>25.24</v>
      </c>
      <c r="M228" s="18"/>
      <c r="N228" s="6" t="s">
        <v>493</v>
      </c>
      <c r="U228" s="215" t="s">
        <v>19</v>
      </c>
      <c r="V228" s="215" t="s">
        <v>20</v>
      </c>
    </row>
    <row r="229" spans="2:22" outlineLevel="1" x14ac:dyDescent="0.3">
      <c r="C229" s="8" t="s">
        <v>85</v>
      </c>
      <c r="D229" s="16" t="s">
        <v>141</v>
      </c>
      <c r="E229" s="361" t="s">
        <v>494</v>
      </c>
      <c r="F229" s="361" t="s">
        <v>494</v>
      </c>
      <c r="G229" s="361" t="s">
        <v>494</v>
      </c>
      <c r="H229" s="361" t="s">
        <v>494</v>
      </c>
      <c r="I229" s="361" t="s">
        <v>494</v>
      </c>
      <c r="J229" s="361" t="s">
        <v>494</v>
      </c>
      <c r="K229" s="361" t="s">
        <v>494</v>
      </c>
      <c r="L229" s="359">
        <v>67.8</v>
      </c>
      <c r="M229" s="18"/>
    </row>
    <row r="230" spans="2:22" outlineLevel="1" x14ac:dyDescent="0.3">
      <c r="C230" s="8" t="s">
        <v>87</v>
      </c>
      <c r="D230" s="16" t="s">
        <v>141</v>
      </c>
      <c r="E230" s="359">
        <v>120</v>
      </c>
      <c r="F230" s="359">
        <v>79</v>
      </c>
      <c r="G230" s="359">
        <v>54</v>
      </c>
      <c r="H230" s="359">
        <v>97</v>
      </c>
      <c r="I230" s="359">
        <v>38</v>
      </c>
      <c r="J230" s="359">
        <v>17</v>
      </c>
      <c r="K230" s="359">
        <v>12</v>
      </c>
      <c r="L230" s="359">
        <v>15</v>
      </c>
      <c r="M230" s="18"/>
    </row>
    <row r="231" spans="2:22" outlineLevel="1" x14ac:dyDescent="0.3">
      <c r="C231" s="8" t="s">
        <v>89</v>
      </c>
      <c r="D231" s="16" t="s">
        <v>141</v>
      </c>
      <c r="E231" s="359">
        <v>67</v>
      </c>
      <c r="F231" s="359">
        <v>79</v>
      </c>
      <c r="G231" s="359">
        <v>65</v>
      </c>
      <c r="H231" s="359">
        <v>47</v>
      </c>
      <c r="I231" s="359">
        <v>30</v>
      </c>
      <c r="J231" s="359">
        <v>30</v>
      </c>
      <c r="K231" s="359">
        <v>31</v>
      </c>
      <c r="L231" s="359">
        <v>26</v>
      </c>
      <c r="M231" s="18"/>
      <c r="N231" s="6" t="s">
        <v>455</v>
      </c>
    </row>
    <row r="232" spans="2:22" outlineLevel="1" x14ac:dyDescent="0.3">
      <c r="C232" s="8" t="s">
        <v>91</v>
      </c>
      <c r="D232" s="16" t="s">
        <v>141</v>
      </c>
      <c r="E232" s="359">
        <v>223</v>
      </c>
      <c r="F232" s="359">
        <v>267</v>
      </c>
      <c r="G232" s="359">
        <v>169</v>
      </c>
      <c r="H232" s="359">
        <v>171</v>
      </c>
      <c r="I232" s="359">
        <v>115</v>
      </c>
      <c r="J232" s="359">
        <v>109</v>
      </c>
      <c r="K232" s="359">
        <v>98</v>
      </c>
      <c r="L232" s="359">
        <v>105</v>
      </c>
      <c r="M232" s="18"/>
    </row>
    <row r="233" spans="2:22" outlineLevel="1" x14ac:dyDescent="0.3">
      <c r="C233" s="8" t="s">
        <v>94</v>
      </c>
      <c r="D233" s="16" t="s">
        <v>141</v>
      </c>
      <c r="E233" s="359">
        <v>189</v>
      </c>
      <c r="F233" s="359">
        <v>148</v>
      </c>
      <c r="G233" s="359">
        <v>135</v>
      </c>
      <c r="H233" s="359">
        <v>75</v>
      </c>
      <c r="I233" s="359">
        <v>35</v>
      </c>
      <c r="J233" s="359">
        <v>31</v>
      </c>
      <c r="K233" s="359">
        <v>39</v>
      </c>
      <c r="L233" s="359">
        <v>110</v>
      </c>
      <c r="M233" s="18"/>
    </row>
    <row r="234" spans="2:22" outlineLevel="1" x14ac:dyDescent="0.3">
      <c r="C234" s="8" t="s">
        <v>96</v>
      </c>
      <c r="D234" s="16" t="s">
        <v>141</v>
      </c>
      <c r="E234" s="359">
        <v>68</v>
      </c>
      <c r="F234" s="359">
        <v>90</v>
      </c>
      <c r="G234" s="359">
        <v>76</v>
      </c>
      <c r="H234" s="359">
        <v>38</v>
      </c>
      <c r="I234" s="359">
        <v>33</v>
      </c>
      <c r="J234" s="359">
        <v>28</v>
      </c>
      <c r="K234" s="359">
        <v>27</v>
      </c>
      <c r="L234" s="359">
        <v>30</v>
      </c>
      <c r="M234" s="18"/>
    </row>
    <row r="235" spans="2:22" outlineLevel="1" x14ac:dyDescent="0.3">
      <c r="C235" s="8" t="s">
        <v>98</v>
      </c>
      <c r="D235" s="16" t="s">
        <v>141</v>
      </c>
      <c r="E235" s="359">
        <v>74</v>
      </c>
      <c r="F235" s="359">
        <v>48</v>
      </c>
      <c r="G235" s="359">
        <v>49</v>
      </c>
      <c r="H235" s="359">
        <v>40</v>
      </c>
      <c r="I235" s="359">
        <v>22</v>
      </c>
      <c r="J235" s="359">
        <v>23</v>
      </c>
      <c r="K235" s="359">
        <v>24</v>
      </c>
      <c r="L235" s="359">
        <v>28</v>
      </c>
      <c r="M235" s="18"/>
    </row>
    <row r="236" spans="2:22" outlineLevel="1" x14ac:dyDescent="0.3">
      <c r="C236" s="8" t="s">
        <v>100</v>
      </c>
      <c r="D236" s="16" t="s">
        <v>141</v>
      </c>
      <c r="E236" s="359">
        <v>35</v>
      </c>
      <c r="F236" s="359">
        <v>48</v>
      </c>
      <c r="G236" s="359">
        <v>44</v>
      </c>
      <c r="H236" s="359">
        <v>48</v>
      </c>
      <c r="I236" s="359">
        <v>22</v>
      </c>
      <c r="J236" s="359">
        <v>23</v>
      </c>
      <c r="K236" s="359">
        <v>24</v>
      </c>
      <c r="L236" s="359">
        <v>22</v>
      </c>
      <c r="M236" s="18"/>
    </row>
    <row r="237" spans="2:22" outlineLevel="1" x14ac:dyDescent="0.3">
      <c r="C237" s="8" t="s">
        <v>102</v>
      </c>
      <c r="D237" s="16" t="s">
        <v>141</v>
      </c>
      <c r="E237" s="359">
        <v>83</v>
      </c>
      <c r="F237" s="359">
        <v>78</v>
      </c>
      <c r="G237" s="359">
        <v>59</v>
      </c>
      <c r="H237" s="359">
        <v>72</v>
      </c>
      <c r="I237" s="359">
        <v>46</v>
      </c>
      <c r="J237" s="359">
        <v>43</v>
      </c>
      <c r="K237" s="359">
        <v>44</v>
      </c>
      <c r="L237" s="359">
        <v>35</v>
      </c>
      <c r="M237" s="18"/>
    </row>
    <row r="238" spans="2:22" outlineLevel="1" x14ac:dyDescent="0.3"/>
    <row r="239" spans="2:22" outlineLevel="1" x14ac:dyDescent="0.3">
      <c r="C239" s="12" t="s">
        <v>451</v>
      </c>
      <c r="D239" s="3" t="s">
        <v>141</v>
      </c>
      <c r="E239" s="15">
        <f t="shared" ref="E239:L239" si="10" xml:space="preserve"> IFERROR( SUMPRODUCT( E227:E237, E243:E253 ) / E255, 0 )</f>
        <v>108.31474512487171</v>
      </c>
      <c r="F239" s="15">
        <f t="shared" si="10"/>
        <v>103.50863309352518</v>
      </c>
      <c r="G239" s="15">
        <f t="shared" si="10"/>
        <v>83.711522287636669</v>
      </c>
      <c r="H239" s="15">
        <f t="shared" si="10"/>
        <v>66.165334486735873</v>
      </c>
      <c r="I239" s="15">
        <f t="shared" si="10"/>
        <v>40.749570123589464</v>
      </c>
      <c r="J239" s="15">
        <f t="shared" si="10"/>
        <v>37.669428571428568</v>
      </c>
      <c r="K239" s="15">
        <f t="shared" si="10"/>
        <v>36.87394967817437</v>
      </c>
      <c r="L239" s="15">
        <f t="shared" si="10"/>
        <v>53.177244094488188</v>
      </c>
    </row>
    <row r="240" spans="2:22" outlineLevel="1" x14ac:dyDescent="0.3"/>
    <row r="241" spans="2:22" s="30" customFormat="1" ht="13.5" outlineLevel="1" x14ac:dyDescent="0.35">
      <c r="B241" s="31" t="s">
        <v>383</v>
      </c>
      <c r="C241" s="31"/>
      <c r="D241" s="28"/>
      <c r="E241" s="29"/>
      <c r="F241" s="29"/>
      <c r="G241" s="29"/>
      <c r="H241" s="29"/>
      <c r="I241" s="29"/>
      <c r="J241" s="29"/>
      <c r="K241" s="29"/>
      <c r="L241" s="29"/>
      <c r="M241" s="29"/>
      <c r="N241" s="143"/>
      <c r="O241" s="143"/>
      <c r="P241" s="143"/>
      <c r="Q241" s="143"/>
      <c r="R241" s="143"/>
      <c r="S241" s="143"/>
      <c r="T241" s="143"/>
      <c r="U241" s="143"/>
      <c r="V241" s="146"/>
    </row>
    <row r="242" spans="2:22" outlineLevel="1" x14ac:dyDescent="0.3"/>
    <row r="243" spans="2:22" outlineLevel="1" x14ac:dyDescent="0.3">
      <c r="C243" s="8" t="s">
        <v>80</v>
      </c>
      <c r="D243" s="11" t="s">
        <v>141</v>
      </c>
      <c r="E243" s="359">
        <v>446</v>
      </c>
      <c r="F243" s="359">
        <v>392</v>
      </c>
      <c r="G243" s="359">
        <v>394</v>
      </c>
      <c r="H243" s="359">
        <v>152</v>
      </c>
      <c r="I243" s="359">
        <v>220</v>
      </c>
      <c r="J243" s="359">
        <v>224</v>
      </c>
      <c r="K243" s="359">
        <v>189</v>
      </c>
      <c r="L243" s="359">
        <v>265</v>
      </c>
      <c r="M243" s="18"/>
      <c r="N243" s="6"/>
    </row>
    <row r="244" spans="2:22" outlineLevel="1" x14ac:dyDescent="0.3">
      <c r="C244" s="8" t="s">
        <v>82</v>
      </c>
      <c r="D244" s="11" t="s">
        <v>141</v>
      </c>
      <c r="E244" s="359">
        <v>199</v>
      </c>
      <c r="F244" s="359">
        <v>122</v>
      </c>
      <c r="G244" s="359">
        <v>108</v>
      </c>
      <c r="H244" s="359">
        <v>109</v>
      </c>
      <c r="I244" s="359">
        <v>107</v>
      </c>
      <c r="J244" s="359">
        <v>103</v>
      </c>
      <c r="K244" s="359">
        <v>101</v>
      </c>
      <c r="L244" s="359">
        <v>94</v>
      </c>
      <c r="M244" s="18"/>
      <c r="N244" s="6" t="s">
        <v>493</v>
      </c>
      <c r="U244" s="215" t="s">
        <v>19</v>
      </c>
      <c r="V244" s="215" t="s">
        <v>20</v>
      </c>
    </row>
    <row r="245" spans="2:22" outlineLevel="1" x14ac:dyDescent="0.3">
      <c r="C245" s="8" t="s">
        <v>85</v>
      </c>
      <c r="D245" s="11" t="s">
        <v>141</v>
      </c>
      <c r="E245" s="360"/>
      <c r="F245" s="360"/>
      <c r="G245" s="360"/>
      <c r="H245" s="360"/>
      <c r="I245" s="360"/>
      <c r="J245" s="360"/>
      <c r="K245" s="359">
        <v>4</v>
      </c>
      <c r="L245" s="359">
        <v>2</v>
      </c>
      <c r="M245" s="18"/>
      <c r="N245" s="6" t="s">
        <v>495</v>
      </c>
      <c r="U245" s="215" t="s">
        <v>19</v>
      </c>
      <c r="V245" s="215" t="s">
        <v>20</v>
      </c>
    </row>
    <row r="246" spans="2:22" outlineLevel="1" x14ac:dyDescent="0.3">
      <c r="C246" s="8" t="s">
        <v>87</v>
      </c>
      <c r="D246" s="11" t="s">
        <v>141</v>
      </c>
      <c r="E246" s="359">
        <v>192</v>
      </c>
      <c r="F246" s="359">
        <v>127</v>
      </c>
      <c r="G246" s="359">
        <v>87</v>
      </c>
      <c r="H246" s="359">
        <v>156</v>
      </c>
      <c r="I246" s="359">
        <v>110</v>
      </c>
      <c r="J246" s="359">
        <v>50</v>
      </c>
      <c r="K246" s="359">
        <v>37</v>
      </c>
      <c r="L246" s="359">
        <v>46</v>
      </c>
      <c r="M246" s="18"/>
      <c r="N246" s="6"/>
    </row>
    <row r="247" spans="2:22" outlineLevel="1" x14ac:dyDescent="0.3">
      <c r="C247" s="8" t="s">
        <v>89</v>
      </c>
      <c r="D247" s="11" t="s">
        <v>141</v>
      </c>
      <c r="E247" s="359">
        <v>365</v>
      </c>
      <c r="F247" s="359">
        <v>431</v>
      </c>
      <c r="G247" s="359">
        <v>354</v>
      </c>
      <c r="H247" s="359">
        <v>256</v>
      </c>
      <c r="I247" s="359">
        <v>268</v>
      </c>
      <c r="J247" s="359">
        <v>277</v>
      </c>
      <c r="K247" s="359">
        <v>279</v>
      </c>
      <c r="L247" s="359">
        <v>235</v>
      </c>
      <c r="M247" s="18"/>
      <c r="N247" s="6" t="s">
        <v>455</v>
      </c>
    </row>
    <row r="248" spans="2:22" outlineLevel="1" x14ac:dyDescent="0.3">
      <c r="C248" s="8" t="s">
        <v>91</v>
      </c>
      <c r="D248" s="11" t="s">
        <v>141</v>
      </c>
      <c r="E248" s="359">
        <v>206</v>
      </c>
      <c r="F248" s="359">
        <v>246</v>
      </c>
      <c r="G248" s="359">
        <v>156</v>
      </c>
      <c r="H248" s="359">
        <v>158</v>
      </c>
      <c r="I248" s="359">
        <v>179</v>
      </c>
      <c r="J248" s="359">
        <v>169</v>
      </c>
      <c r="K248" s="359">
        <v>168</v>
      </c>
      <c r="L248" s="359">
        <v>180</v>
      </c>
      <c r="M248" s="18"/>
      <c r="N248" s="6"/>
    </row>
    <row r="249" spans="2:22" outlineLevel="1" x14ac:dyDescent="0.3">
      <c r="C249" s="8" t="s">
        <v>94</v>
      </c>
      <c r="D249" s="11" t="s">
        <v>141</v>
      </c>
      <c r="E249" s="359">
        <v>409</v>
      </c>
      <c r="F249" s="359">
        <v>320</v>
      </c>
      <c r="G249" s="359">
        <v>292</v>
      </c>
      <c r="H249" s="359">
        <v>163</v>
      </c>
      <c r="I249" s="359">
        <v>138</v>
      </c>
      <c r="J249" s="359">
        <v>123</v>
      </c>
      <c r="K249" s="359">
        <v>149</v>
      </c>
      <c r="L249" s="359">
        <v>430</v>
      </c>
      <c r="M249" s="18"/>
      <c r="N249" s="6"/>
    </row>
    <row r="250" spans="2:22" outlineLevel="1" x14ac:dyDescent="0.3">
      <c r="C250" s="8" t="s">
        <v>96</v>
      </c>
      <c r="D250" s="11" t="s">
        <v>141</v>
      </c>
      <c r="E250" s="359">
        <v>468</v>
      </c>
      <c r="F250" s="359">
        <v>612</v>
      </c>
      <c r="G250" s="359">
        <v>517</v>
      </c>
      <c r="H250" s="359">
        <v>263</v>
      </c>
      <c r="I250" s="359">
        <v>357</v>
      </c>
      <c r="J250" s="359">
        <v>302</v>
      </c>
      <c r="K250" s="359">
        <v>297</v>
      </c>
      <c r="L250" s="359">
        <v>325</v>
      </c>
      <c r="M250" s="18"/>
      <c r="N250" s="6"/>
    </row>
    <row r="251" spans="2:22" outlineLevel="1" x14ac:dyDescent="0.3">
      <c r="C251" s="8" t="s">
        <v>98</v>
      </c>
      <c r="D251" s="11" t="s">
        <v>141</v>
      </c>
      <c r="E251" s="359">
        <v>324</v>
      </c>
      <c r="F251" s="359">
        <v>208</v>
      </c>
      <c r="G251" s="359">
        <v>214</v>
      </c>
      <c r="H251" s="359">
        <v>175</v>
      </c>
      <c r="I251" s="359">
        <v>171</v>
      </c>
      <c r="J251" s="359">
        <v>166</v>
      </c>
      <c r="K251" s="359">
        <v>179</v>
      </c>
      <c r="L251" s="359">
        <v>202</v>
      </c>
      <c r="M251" s="18"/>
      <c r="N251" s="6"/>
    </row>
    <row r="252" spans="2:22" outlineLevel="1" x14ac:dyDescent="0.3">
      <c r="C252" s="8" t="s">
        <v>100</v>
      </c>
      <c r="D252" s="11" t="s">
        <v>141</v>
      </c>
      <c r="E252" s="359">
        <v>61</v>
      </c>
      <c r="F252" s="359">
        <v>83</v>
      </c>
      <c r="G252" s="359">
        <v>76</v>
      </c>
      <c r="H252" s="359">
        <v>83</v>
      </c>
      <c r="I252" s="359">
        <v>74</v>
      </c>
      <c r="J252" s="359">
        <v>79</v>
      </c>
      <c r="K252" s="359">
        <v>82</v>
      </c>
      <c r="L252" s="359">
        <v>76</v>
      </c>
      <c r="M252" s="18"/>
      <c r="N252" s="6"/>
    </row>
    <row r="253" spans="2:22" outlineLevel="1" x14ac:dyDescent="0.3">
      <c r="C253" s="8" t="s">
        <v>102</v>
      </c>
      <c r="D253" s="11" t="s">
        <v>141</v>
      </c>
      <c r="E253" s="359">
        <v>253</v>
      </c>
      <c r="F253" s="359">
        <v>239</v>
      </c>
      <c r="G253" s="359">
        <v>180</v>
      </c>
      <c r="H253" s="359">
        <v>219</v>
      </c>
      <c r="I253" s="359">
        <v>237</v>
      </c>
      <c r="J253" s="359">
        <v>222</v>
      </c>
      <c r="K253" s="359">
        <v>224</v>
      </c>
      <c r="L253" s="359">
        <v>177</v>
      </c>
      <c r="M253" s="18"/>
      <c r="N253" s="6"/>
    </row>
    <row r="254" spans="2:22" outlineLevel="1" x14ac:dyDescent="0.3"/>
    <row r="255" spans="2:22" outlineLevel="1" x14ac:dyDescent="0.3">
      <c r="C255" s="2" t="s">
        <v>424</v>
      </c>
      <c r="D255" s="3" t="s">
        <v>141</v>
      </c>
      <c r="E255" s="15">
        <f t="shared" ref="E255:L255" si="11">SUM(E243:E253)</f>
        <v>2923</v>
      </c>
      <c r="F255" s="15">
        <f t="shared" si="11"/>
        <v>2780</v>
      </c>
      <c r="G255" s="15">
        <f t="shared" si="11"/>
        <v>2378</v>
      </c>
      <c r="H255" s="15">
        <f t="shared" si="11"/>
        <v>1734</v>
      </c>
      <c r="I255" s="15">
        <f t="shared" si="11"/>
        <v>1861</v>
      </c>
      <c r="J255" s="15">
        <f t="shared" si="11"/>
        <v>1715</v>
      </c>
      <c r="K255" s="15">
        <f t="shared" si="11"/>
        <v>1709</v>
      </c>
      <c r="L255" s="15">
        <f t="shared" si="11"/>
        <v>2032</v>
      </c>
    </row>
    <row r="257" spans="2:22" ht="13.5" x14ac:dyDescent="0.35">
      <c r="B257" s="9" t="s">
        <v>496</v>
      </c>
      <c r="C257" s="9"/>
      <c r="D257" s="10"/>
      <c r="E257" s="9"/>
      <c r="F257" s="9"/>
      <c r="G257" s="9"/>
      <c r="H257" s="9"/>
      <c r="I257" s="9"/>
      <c r="J257" s="9"/>
      <c r="K257" s="9"/>
      <c r="L257" s="9"/>
      <c r="M257" s="9"/>
      <c r="N257" s="154"/>
      <c r="O257" s="154"/>
      <c r="P257" s="154"/>
      <c r="Q257" s="154"/>
      <c r="R257" s="154"/>
      <c r="S257" s="154"/>
      <c r="T257" s="154"/>
      <c r="U257" s="154"/>
      <c r="V257" s="145"/>
    </row>
    <row r="258" spans="2:22" outlineLevel="1" x14ac:dyDescent="0.3"/>
    <row r="259" spans="2:22" s="30" customFormat="1" ht="13.5" outlineLevel="1" x14ac:dyDescent="0.35">
      <c r="B259" s="31" t="s">
        <v>497</v>
      </c>
      <c r="C259" s="31"/>
      <c r="D259" s="28"/>
      <c r="E259" s="29"/>
      <c r="F259" s="29"/>
      <c r="G259" s="29"/>
      <c r="H259" s="29"/>
      <c r="I259" s="29"/>
      <c r="J259" s="29"/>
      <c r="K259" s="29"/>
      <c r="L259" s="29"/>
      <c r="M259" s="29"/>
      <c r="N259" s="143" t="s">
        <v>273</v>
      </c>
      <c r="O259" s="143"/>
      <c r="P259" s="143"/>
      <c r="Q259" s="143"/>
      <c r="R259" s="143"/>
      <c r="S259" s="143"/>
      <c r="T259" s="143"/>
      <c r="U259" s="143"/>
      <c r="V259" s="146"/>
    </row>
    <row r="260" spans="2:22" outlineLevel="1" x14ac:dyDescent="0.3"/>
    <row r="261" spans="2:22" outlineLevel="1" x14ac:dyDescent="0.3">
      <c r="C261" s="8" t="s">
        <v>80</v>
      </c>
      <c r="D261" s="11" t="s">
        <v>141</v>
      </c>
      <c r="E261" s="360"/>
      <c r="F261" s="360"/>
      <c r="G261" s="360"/>
      <c r="H261" s="359">
        <v>14</v>
      </c>
      <c r="I261" s="359">
        <v>14</v>
      </c>
      <c r="J261" s="359">
        <v>15</v>
      </c>
      <c r="K261" s="359">
        <v>14</v>
      </c>
      <c r="L261" s="359">
        <v>38</v>
      </c>
      <c r="M261" s="18"/>
      <c r="N261" s="6"/>
    </row>
    <row r="262" spans="2:22" outlineLevel="1" x14ac:dyDescent="0.3">
      <c r="C262" s="8" t="s">
        <v>82</v>
      </c>
      <c r="D262" s="11" t="s">
        <v>141</v>
      </c>
      <c r="E262" s="360"/>
      <c r="F262" s="360"/>
      <c r="G262" s="360"/>
      <c r="H262" s="359">
        <v>31</v>
      </c>
      <c r="I262" s="359">
        <v>31</v>
      </c>
      <c r="J262" s="359">
        <v>27</v>
      </c>
      <c r="K262" s="359">
        <v>27</v>
      </c>
      <c r="L262" s="359">
        <v>27</v>
      </c>
      <c r="M262" s="18"/>
      <c r="N262" s="6"/>
    </row>
    <row r="263" spans="2:22" outlineLevel="1" x14ac:dyDescent="0.3">
      <c r="C263" s="8" t="s">
        <v>85</v>
      </c>
      <c r="D263" s="11" t="s">
        <v>141</v>
      </c>
      <c r="E263" s="360"/>
      <c r="F263" s="360"/>
      <c r="G263" s="360"/>
      <c r="H263" s="360"/>
      <c r="I263" s="360"/>
      <c r="J263" s="360"/>
      <c r="K263" s="359">
        <v>39</v>
      </c>
      <c r="L263" s="359">
        <v>39</v>
      </c>
      <c r="M263" s="18"/>
      <c r="N263" s="6"/>
    </row>
    <row r="264" spans="2:22" outlineLevel="1" x14ac:dyDescent="0.3">
      <c r="C264" s="8" t="s">
        <v>87</v>
      </c>
      <c r="D264" s="11" t="s">
        <v>141</v>
      </c>
      <c r="E264" s="360"/>
      <c r="F264" s="360"/>
      <c r="G264" s="360"/>
      <c r="H264" s="359">
        <v>29</v>
      </c>
      <c r="I264" s="359">
        <v>29</v>
      </c>
      <c r="J264" s="359">
        <v>41</v>
      </c>
      <c r="K264" s="359">
        <v>41</v>
      </c>
      <c r="L264" s="359">
        <v>40</v>
      </c>
      <c r="M264" s="18"/>
      <c r="N264" s="6"/>
    </row>
    <row r="265" spans="2:22" outlineLevel="1" x14ac:dyDescent="0.3">
      <c r="C265" s="8" t="s">
        <v>89</v>
      </c>
      <c r="D265" s="11" t="s">
        <v>141</v>
      </c>
      <c r="E265" s="360"/>
      <c r="F265" s="360"/>
      <c r="G265" s="360"/>
      <c r="H265" s="360"/>
      <c r="I265" s="360"/>
      <c r="J265" s="360"/>
      <c r="K265" s="359">
        <v>45</v>
      </c>
      <c r="L265" s="359">
        <v>50</v>
      </c>
      <c r="M265" s="18"/>
      <c r="N265" s="6"/>
    </row>
    <row r="266" spans="2:22" outlineLevel="1" x14ac:dyDescent="0.3">
      <c r="C266" s="8" t="s">
        <v>120</v>
      </c>
      <c r="D266" s="11" t="s">
        <v>141</v>
      </c>
      <c r="E266" s="360"/>
      <c r="F266" s="360"/>
      <c r="G266" s="360"/>
      <c r="H266" s="359">
        <v>28</v>
      </c>
      <c r="I266" s="359">
        <v>31</v>
      </c>
      <c r="J266" s="359">
        <v>34</v>
      </c>
      <c r="K266" s="360"/>
      <c r="L266" s="360"/>
      <c r="M266" s="18"/>
      <c r="N266" s="6"/>
    </row>
    <row r="267" spans="2:22" outlineLevel="1" x14ac:dyDescent="0.3">
      <c r="C267" s="8" t="s">
        <v>91</v>
      </c>
      <c r="D267" s="11" t="s">
        <v>141</v>
      </c>
      <c r="E267" s="360"/>
      <c r="F267" s="360"/>
      <c r="G267" s="360"/>
      <c r="H267" s="359">
        <v>29</v>
      </c>
      <c r="I267" s="359">
        <v>27</v>
      </c>
      <c r="J267" s="359">
        <v>28</v>
      </c>
      <c r="K267" s="359">
        <v>28</v>
      </c>
      <c r="L267" s="359">
        <v>54</v>
      </c>
      <c r="M267" s="18"/>
      <c r="N267" s="6"/>
    </row>
    <row r="268" spans="2:22" outlineLevel="1" x14ac:dyDescent="0.3">
      <c r="C268" s="8" t="s">
        <v>94</v>
      </c>
      <c r="D268" s="11" t="s">
        <v>141</v>
      </c>
      <c r="E268" s="360"/>
      <c r="F268" s="360"/>
      <c r="G268" s="360"/>
      <c r="H268" s="359">
        <v>19</v>
      </c>
      <c r="I268" s="359">
        <v>24</v>
      </c>
      <c r="J268" s="359">
        <v>25</v>
      </c>
      <c r="K268" s="359">
        <v>25</v>
      </c>
      <c r="L268" s="359">
        <v>33</v>
      </c>
      <c r="M268" s="18"/>
      <c r="N268" s="6"/>
    </row>
    <row r="269" spans="2:22" outlineLevel="1" x14ac:dyDescent="0.3">
      <c r="C269" s="8" t="s">
        <v>96</v>
      </c>
      <c r="D269" s="11" t="s">
        <v>141</v>
      </c>
      <c r="E269" s="360"/>
      <c r="F269" s="360"/>
      <c r="G269" s="360"/>
      <c r="H269" s="359">
        <v>39</v>
      </c>
      <c r="I269" s="359">
        <v>41</v>
      </c>
      <c r="J269" s="359">
        <v>43</v>
      </c>
      <c r="K269" s="359">
        <v>40</v>
      </c>
      <c r="L269" s="359">
        <v>50</v>
      </c>
      <c r="M269" s="18"/>
      <c r="N269" s="6"/>
    </row>
    <row r="270" spans="2:22" outlineLevel="1" x14ac:dyDescent="0.3">
      <c r="C270" s="8" t="s">
        <v>98</v>
      </c>
      <c r="D270" s="11" t="s">
        <v>141</v>
      </c>
      <c r="E270" s="360"/>
      <c r="F270" s="360"/>
      <c r="G270" s="360"/>
      <c r="H270" s="359">
        <v>27</v>
      </c>
      <c r="I270" s="359">
        <v>27</v>
      </c>
      <c r="J270" s="359">
        <v>26</v>
      </c>
      <c r="K270" s="359">
        <v>27</v>
      </c>
      <c r="L270" s="359">
        <v>27</v>
      </c>
      <c r="M270" s="18"/>
      <c r="N270" s="6"/>
    </row>
    <row r="271" spans="2:22" outlineLevel="1" x14ac:dyDescent="0.3">
      <c r="C271" s="8" t="s">
        <v>100</v>
      </c>
      <c r="D271" s="11" t="s">
        <v>141</v>
      </c>
      <c r="E271" s="360"/>
      <c r="F271" s="360"/>
      <c r="G271" s="360"/>
      <c r="H271" s="359">
        <v>32</v>
      </c>
      <c r="I271" s="359">
        <v>30</v>
      </c>
      <c r="J271" s="359">
        <v>31</v>
      </c>
      <c r="K271" s="359">
        <v>31</v>
      </c>
      <c r="L271" s="359">
        <v>32</v>
      </c>
      <c r="M271" s="18"/>
      <c r="N271" s="6"/>
    </row>
    <row r="272" spans="2:22" outlineLevel="1" x14ac:dyDescent="0.3">
      <c r="C272" s="8" t="s">
        <v>102</v>
      </c>
      <c r="D272" s="11" t="s">
        <v>141</v>
      </c>
      <c r="E272" s="360"/>
      <c r="F272" s="360"/>
      <c r="G272" s="360"/>
      <c r="H272" s="359">
        <v>22</v>
      </c>
      <c r="I272" s="359">
        <v>22</v>
      </c>
      <c r="J272" s="359">
        <v>22</v>
      </c>
      <c r="K272" s="359">
        <v>30</v>
      </c>
      <c r="L272" s="359">
        <v>34</v>
      </c>
      <c r="M272" s="18"/>
      <c r="N272" s="6"/>
    </row>
    <row r="273" spans="2:22" outlineLevel="1" x14ac:dyDescent="0.3">
      <c r="C273" s="8" t="s">
        <v>104</v>
      </c>
      <c r="D273" s="11" t="s">
        <v>141</v>
      </c>
      <c r="E273" s="360"/>
      <c r="F273" s="360"/>
      <c r="G273" s="360"/>
      <c r="H273" s="359">
        <v>10</v>
      </c>
      <c r="I273" s="359">
        <v>10</v>
      </c>
      <c r="J273" s="359">
        <v>10</v>
      </c>
      <c r="K273" s="359">
        <v>10</v>
      </c>
      <c r="L273" s="359">
        <v>10</v>
      </c>
      <c r="M273" s="18"/>
      <c r="N273" s="6"/>
    </row>
    <row r="274" spans="2:22" outlineLevel="1" x14ac:dyDescent="0.3">
      <c r="C274" s="8" t="s">
        <v>106</v>
      </c>
      <c r="D274" s="11" t="s">
        <v>141</v>
      </c>
      <c r="E274" s="360"/>
      <c r="F274" s="360"/>
      <c r="G274" s="360"/>
      <c r="H274" s="359">
        <v>21</v>
      </c>
      <c r="I274" s="359">
        <v>21</v>
      </c>
      <c r="J274" s="359">
        <v>21</v>
      </c>
      <c r="K274" s="359">
        <v>21</v>
      </c>
      <c r="L274" s="359">
        <v>21</v>
      </c>
      <c r="M274" s="18"/>
      <c r="N274" s="6"/>
    </row>
    <row r="275" spans="2:22" outlineLevel="1" x14ac:dyDescent="0.3">
      <c r="C275" s="8" t="s">
        <v>122</v>
      </c>
      <c r="D275" s="11" t="s">
        <v>141</v>
      </c>
      <c r="E275" s="360"/>
      <c r="F275" s="360"/>
      <c r="G275" s="360"/>
      <c r="H275" s="359">
        <v>11</v>
      </c>
      <c r="I275" s="359">
        <v>12</v>
      </c>
      <c r="J275" s="359">
        <v>12</v>
      </c>
      <c r="K275" s="360"/>
      <c r="L275" s="360"/>
      <c r="M275" s="18"/>
      <c r="N275" s="6"/>
    </row>
    <row r="276" spans="2:22" outlineLevel="1" x14ac:dyDescent="0.3">
      <c r="C276" s="8" t="s">
        <v>108</v>
      </c>
      <c r="D276" s="11" t="s">
        <v>141</v>
      </c>
      <c r="E276" s="360"/>
      <c r="F276" s="360"/>
      <c r="G276" s="360"/>
      <c r="H276" s="359">
        <v>13</v>
      </c>
      <c r="I276" s="359">
        <v>13</v>
      </c>
      <c r="J276" s="359">
        <v>10</v>
      </c>
      <c r="K276" s="359">
        <v>10</v>
      </c>
      <c r="L276" s="359">
        <v>12</v>
      </c>
      <c r="M276" s="18"/>
      <c r="N276" s="6"/>
    </row>
    <row r="277" spans="2:22" outlineLevel="1" x14ac:dyDescent="0.3">
      <c r="C277" s="8" t="s">
        <v>112</v>
      </c>
      <c r="D277" s="11" t="s">
        <v>141</v>
      </c>
      <c r="E277" s="360"/>
      <c r="F277" s="360"/>
      <c r="G277" s="360"/>
      <c r="H277" s="359">
        <v>27</v>
      </c>
      <c r="I277" s="359">
        <v>28</v>
      </c>
      <c r="J277" s="359">
        <v>28</v>
      </c>
      <c r="K277" s="359">
        <v>28</v>
      </c>
      <c r="L277" s="359">
        <v>34</v>
      </c>
      <c r="M277" s="18"/>
      <c r="N277" s="6"/>
    </row>
    <row r="278" spans="2:22" outlineLevel="1" x14ac:dyDescent="0.3">
      <c r="C278" s="8" t="s">
        <v>114</v>
      </c>
      <c r="D278" s="11" t="s">
        <v>141</v>
      </c>
      <c r="E278" s="360"/>
      <c r="F278" s="360"/>
      <c r="G278" s="360"/>
      <c r="H278" s="359">
        <v>15</v>
      </c>
      <c r="I278" s="359">
        <v>15</v>
      </c>
      <c r="J278" s="359">
        <v>15</v>
      </c>
      <c r="K278" s="359">
        <v>15</v>
      </c>
      <c r="L278" s="359">
        <v>15</v>
      </c>
      <c r="M278" s="18"/>
      <c r="N278" s="6"/>
    </row>
    <row r="279" spans="2:22" outlineLevel="1" x14ac:dyDescent="0.3">
      <c r="C279" s="8" t="s">
        <v>110</v>
      </c>
      <c r="D279" s="11" t="s">
        <v>141</v>
      </c>
      <c r="E279" s="360"/>
      <c r="F279" s="360"/>
      <c r="G279" s="360"/>
      <c r="H279" s="359">
        <v>21</v>
      </c>
      <c r="I279" s="359">
        <v>21</v>
      </c>
      <c r="J279" s="359">
        <v>21</v>
      </c>
      <c r="K279" s="359">
        <v>21</v>
      </c>
      <c r="L279" s="359">
        <v>21</v>
      </c>
      <c r="M279" s="18"/>
      <c r="N279" s="6"/>
    </row>
    <row r="280" spans="2:22" outlineLevel="1" x14ac:dyDescent="0.3"/>
    <row r="281" spans="2:22" outlineLevel="1" x14ac:dyDescent="0.3">
      <c r="C281" s="2" t="s">
        <v>424</v>
      </c>
      <c r="D281" s="13" t="s">
        <v>141</v>
      </c>
      <c r="E281" s="228">
        <f t="shared" ref="E281:L281" si="12">SUM(E261:E279)</f>
        <v>0</v>
      </c>
      <c r="F281" s="228">
        <f t="shared" si="12"/>
        <v>0</v>
      </c>
      <c r="G281" s="228">
        <f t="shared" si="12"/>
        <v>0</v>
      </c>
      <c r="H281" s="228">
        <f t="shared" si="12"/>
        <v>388</v>
      </c>
      <c r="I281" s="228">
        <f t="shared" si="12"/>
        <v>396</v>
      </c>
      <c r="J281" s="228">
        <f t="shared" si="12"/>
        <v>409</v>
      </c>
      <c r="K281" s="228">
        <f t="shared" si="12"/>
        <v>452</v>
      </c>
      <c r="L281" s="228">
        <f t="shared" si="12"/>
        <v>537</v>
      </c>
    </row>
    <row r="282" spans="2:22" outlineLevel="1" x14ac:dyDescent="0.3"/>
    <row r="283" spans="2:22" s="30" customFormat="1" ht="13.5" outlineLevel="1" x14ac:dyDescent="0.35">
      <c r="B283" s="31" t="s">
        <v>498</v>
      </c>
      <c r="C283" s="31"/>
      <c r="D283" s="28"/>
      <c r="E283" s="29"/>
      <c r="F283" s="29"/>
      <c r="G283" s="29"/>
      <c r="H283" s="29"/>
      <c r="I283" s="29"/>
      <c r="J283" s="29"/>
      <c r="K283" s="29"/>
      <c r="L283" s="29"/>
      <c r="M283" s="29"/>
      <c r="N283" s="143" t="s">
        <v>274</v>
      </c>
      <c r="O283" s="143"/>
      <c r="P283" s="143"/>
      <c r="Q283" s="143"/>
      <c r="R283" s="143"/>
      <c r="S283" s="143"/>
      <c r="T283" s="143"/>
      <c r="U283" s="143"/>
      <c r="V283" s="146"/>
    </row>
    <row r="284" spans="2:22" outlineLevel="1" x14ac:dyDescent="0.3"/>
    <row r="285" spans="2:22" outlineLevel="1" x14ac:dyDescent="0.3">
      <c r="C285" s="8" t="s">
        <v>80</v>
      </c>
      <c r="D285" s="11" t="s">
        <v>141</v>
      </c>
      <c r="E285" s="360"/>
      <c r="F285" s="360"/>
      <c r="G285" s="360"/>
      <c r="H285" s="359">
        <v>14</v>
      </c>
      <c r="I285" s="359">
        <v>11</v>
      </c>
      <c r="J285" s="359">
        <v>14</v>
      </c>
      <c r="K285" s="359">
        <v>13</v>
      </c>
      <c r="L285" s="359">
        <v>25.24</v>
      </c>
      <c r="M285" s="18"/>
      <c r="N285" s="6"/>
    </row>
    <row r="286" spans="2:22" outlineLevel="1" x14ac:dyDescent="0.3">
      <c r="C286" s="8" t="s">
        <v>82</v>
      </c>
      <c r="D286" s="11" t="s">
        <v>141</v>
      </c>
      <c r="E286" s="360"/>
      <c r="F286" s="360"/>
      <c r="G286" s="360"/>
      <c r="H286" s="359">
        <v>24</v>
      </c>
      <c r="I286" s="359">
        <v>24</v>
      </c>
      <c r="J286" s="359">
        <v>21</v>
      </c>
      <c r="K286" s="359">
        <v>17</v>
      </c>
      <c r="L286" s="359">
        <v>18</v>
      </c>
      <c r="M286" s="18"/>
    </row>
    <row r="287" spans="2:22" outlineLevel="1" x14ac:dyDescent="0.3">
      <c r="C287" s="8" t="s">
        <v>85</v>
      </c>
      <c r="D287" s="11" t="s">
        <v>141</v>
      </c>
      <c r="E287" s="360"/>
      <c r="F287" s="360"/>
      <c r="G287" s="360"/>
      <c r="H287" s="360"/>
      <c r="I287" s="360"/>
      <c r="J287" s="360"/>
      <c r="K287" s="359">
        <v>20</v>
      </c>
      <c r="L287" s="359">
        <v>20</v>
      </c>
      <c r="M287" s="18"/>
      <c r="N287" s="6"/>
    </row>
    <row r="288" spans="2:22" outlineLevel="1" x14ac:dyDescent="0.3">
      <c r="C288" s="8" t="s">
        <v>87</v>
      </c>
      <c r="D288" s="11" t="s">
        <v>141</v>
      </c>
      <c r="E288" s="360"/>
      <c r="F288" s="360"/>
      <c r="G288" s="360"/>
      <c r="H288" s="359">
        <v>20</v>
      </c>
      <c r="I288" s="359">
        <v>20</v>
      </c>
      <c r="J288" s="359">
        <v>31</v>
      </c>
      <c r="K288" s="359">
        <v>24</v>
      </c>
      <c r="L288" s="359">
        <v>28</v>
      </c>
      <c r="M288" s="18"/>
      <c r="N288" s="6"/>
    </row>
    <row r="289" spans="3:14" outlineLevel="1" x14ac:dyDescent="0.3">
      <c r="C289" s="8" t="s">
        <v>89</v>
      </c>
      <c r="D289" s="11" t="s">
        <v>141</v>
      </c>
      <c r="E289" s="360"/>
      <c r="F289" s="360"/>
      <c r="G289" s="360"/>
      <c r="H289" s="360"/>
      <c r="I289" s="360"/>
      <c r="J289" s="360"/>
      <c r="K289" s="359">
        <v>28</v>
      </c>
      <c r="L289" s="359">
        <v>31</v>
      </c>
      <c r="M289" s="18"/>
      <c r="N289" s="6"/>
    </row>
    <row r="290" spans="3:14" outlineLevel="1" x14ac:dyDescent="0.3">
      <c r="C290" s="8" t="s">
        <v>120</v>
      </c>
      <c r="E290" s="360"/>
      <c r="F290" s="360"/>
      <c r="G290" s="360"/>
      <c r="H290" s="359">
        <v>17</v>
      </c>
      <c r="I290" s="359">
        <v>21</v>
      </c>
      <c r="J290" s="359">
        <v>23</v>
      </c>
      <c r="K290" s="360"/>
      <c r="L290" s="360"/>
      <c r="M290" s="18"/>
      <c r="N290" s="6"/>
    </row>
    <row r="291" spans="3:14" outlineLevel="1" x14ac:dyDescent="0.3">
      <c r="C291" s="8" t="s">
        <v>91</v>
      </c>
      <c r="D291" s="11" t="s">
        <v>141</v>
      </c>
      <c r="E291" s="360"/>
      <c r="F291" s="360"/>
      <c r="G291" s="360"/>
      <c r="H291" s="359">
        <v>18</v>
      </c>
      <c r="I291" s="359">
        <v>18</v>
      </c>
      <c r="J291" s="359">
        <v>20</v>
      </c>
      <c r="K291" s="359">
        <v>20</v>
      </c>
      <c r="L291" s="359">
        <v>38</v>
      </c>
      <c r="M291" s="18"/>
    </row>
    <row r="292" spans="3:14" outlineLevel="1" x14ac:dyDescent="0.3">
      <c r="C292" s="8" t="s">
        <v>94</v>
      </c>
      <c r="D292" s="11" t="s">
        <v>141</v>
      </c>
      <c r="E292" s="360"/>
      <c r="F292" s="360"/>
      <c r="G292" s="360"/>
      <c r="H292" s="359">
        <v>12</v>
      </c>
      <c r="I292" s="359">
        <v>15</v>
      </c>
      <c r="J292" s="359">
        <v>14</v>
      </c>
      <c r="K292" s="359">
        <v>16</v>
      </c>
      <c r="L292" s="359">
        <v>11</v>
      </c>
      <c r="M292" s="18"/>
    </row>
    <row r="293" spans="3:14" outlineLevel="1" x14ac:dyDescent="0.3">
      <c r="C293" s="8" t="s">
        <v>96</v>
      </c>
      <c r="D293" s="11" t="s">
        <v>141</v>
      </c>
      <c r="E293" s="360"/>
      <c r="F293" s="360"/>
      <c r="G293" s="360"/>
      <c r="H293" s="359">
        <v>25</v>
      </c>
      <c r="I293" s="359">
        <v>27</v>
      </c>
      <c r="J293" s="359">
        <v>28</v>
      </c>
      <c r="K293" s="359">
        <v>22</v>
      </c>
      <c r="L293" s="359">
        <v>29</v>
      </c>
      <c r="M293" s="18"/>
    </row>
    <row r="294" spans="3:14" outlineLevel="1" x14ac:dyDescent="0.3">
      <c r="C294" s="8" t="s">
        <v>98</v>
      </c>
      <c r="D294" s="11" t="s">
        <v>141</v>
      </c>
      <c r="E294" s="360"/>
      <c r="F294" s="360"/>
      <c r="G294" s="360"/>
      <c r="H294" s="359">
        <v>18</v>
      </c>
      <c r="I294" s="359">
        <v>19</v>
      </c>
      <c r="J294" s="359">
        <v>18</v>
      </c>
      <c r="K294" s="359">
        <v>20</v>
      </c>
      <c r="L294" s="359">
        <v>16</v>
      </c>
      <c r="M294" s="18"/>
    </row>
    <row r="295" spans="3:14" outlineLevel="1" x14ac:dyDescent="0.3">
      <c r="C295" s="8" t="s">
        <v>100</v>
      </c>
      <c r="D295" s="11" t="s">
        <v>141</v>
      </c>
      <c r="E295" s="360"/>
      <c r="F295" s="360"/>
      <c r="G295" s="360"/>
      <c r="H295" s="359">
        <v>26</v>
      </c>
      <c r="I295" s="359">
        <v>23</v>
      </c>
      <c r="J295" s="359">
        <v>24</v>
      </c>
      <c r="K295" s="359">
        <v>24</v>
      </c>
      <c r="L295" s="359">
        <v>25</v>
      </c>
      <c r="M295" s="18"/>
    </row>
    <row r="296" spans="3:14" outlineLevel="1" x14ac:dyDescent="0.3">
      <c r="C296" s="8" t="s">
        <v>102</v>
      </c>
      <c r="D296" s="11" t="s">
        <v>141</v>
      </c>
      <c r="E296" s="360"/>
      <c r="F296" s="360"/>
      <c r="G296" s="360"/>
      <c r="H296" s="359">
        <v>18</v>
      </c>
      <c r="I296" s="359">
        <v>18</v>
      </c>
      <c r="J296" s="359">
        <v>16</v>
      </c>
      <c r="K296" s="359">
        <v>23</v>
      </c>
      <c r="L296" s="359">
        <v>30</v>
      </c>
      <c r="M296" s="18"/>
    </row>
    <row r="297" spans="3:14" outlineLevel="1" x14ac:dyDescent="0.3">
      <c r="C297" s="8" t="s">
        <v>104</v>
      </c>
      <c r="D297" s="11" t="s">
        <v>141</v>
      </c>
      <c r="E297" s="360"/>
      <c r="F297" s="360"/>
      <c r="G297" s="360"/>
      <c r="H297" s="359">
        <v>8</v>
      </c>
      <c r="I297" s="359">
        <v>7</v>
      </c>
      <c r="J297" s="359">
        <v>7</v>
      </c>
      <c r="K297" s="359">
        <v>9</v>
      </c>
      <c r="L297" s="359">
        <v>7</v>
      </c>
      <c r="M297" s="18"/>
    </row>
    <row r="298" spans="3:14" outlineLevel="1" x14ac:dyDescent="0.3">
      <c r="C298" s="8" t="s">
        <v>106</v>
      </c>
      <c r="D298" s="11" t="s">
        <v>141</v>
      </c>
      <c r="E298" s="360"/>
      <c r="F298" s="360"/>
      <c r="G298" s="360"/>
      <c r="H298" s="359">
        <v>12</v>
      </c>
      <c r="I298" s="359">
        <v>14</v>
      </c>
      <c r="J298" s="359">
        <v>9</v>
      </c>
      <c r="K298" s="359">
        <v>9</v>
      </c>
      <c r="L298" s="359">
        <v>14</v>
      </c>
      <c r="M298" s="18"/>
    </row>
    <row r="299" spans="3:14" outlineLevel="1" x14ac:dyDescent="0.3">
      <c r="C299" s="8" t="s">
        <v>122</v>
      </c>
      <c r="D299" s="11" t="s">
        <v>141</v>
      </c>
      <c r="E299" s="360"/>
      <c r="F299" s="360"/>
      <c r="G299" s="360"/>
      <c r="H299" s="359">
        <v>9</v>
      </c>
      <c r="I299" s="359">
        <v>7</v>
      </c>
      <c r="J299" s="359">
        <v>7</v>
      </c>
      <c r="K299" s="360"/>
      <c r="L299" s="360"/>
      <c r="M299" s="18"/>
    </row>
    <row r="300" spans="3:14" outlineLevel="1" x14ac:dyDescent="0.3">
      <c r="C300" s="8" t="s">
        <v>108</v>
      </c>
      <c r="D300" s="11" t="s">
        <v>141</v>
      </c>
      <c r="E300" s="360"/>
      <c r="F300" s="360"/>
      <c r="G300" s="360"/>
      <c r="H300" s="359">
        <v>11</v>
      </c>
      <c r="I300" s="359">
        <v>11</v>
      </c>
      <c r="J300" s="359">
        <v>7</v>
      </c>
      <c r="K300" s="359">
        <v>8</v>
      </c>
      <c r="L300" s="359">
        <v>9</v>
      </c>
      <c r="M300" s="18"/>
    </row>
    <row r="301" spans="3:14" outlineLevel="1" x14ac:dyDescent="0.3">
      <c r="C301" s="8" t="s">
        <v>112</v>
      </c>
      <c r="D301" s="11" t="s">
        <v>141</v>
      </c>
      <c r="E301" s="360"/>
      <c r="F301" s="360"/>
      <c r="G301" s="360"/>
      <c r="H301" s="359">
        <v>11</v>
      </c>
      <c r="I301" s="359">
        <v>9</v>
      </c>
      <c r="J301" s="359">
        <v>10</v>
      </c>
      <c r="K301" s="359">
        <v>9</v>
      </c>
      <c r="L301" s="359">
        <v>17</v>
      </c>
      <c r="M301" s="18"/>
    </row>
    <row r="302" spans="3:14" outlineLevel="1" x14ac:dyDescent="0.3">
      <c r="C302" s="8" t="s">
        <v>114</v>
      </c>
      <c r="D302" s="11" t="s">
        <v>141</v>
      </c>
      <c r="E302" s="360"/>
      <c r="F302" s="360"/>
      <c r="G302" s="360"/>
      <c r="H302" s="359">
        <v>10</v>
      </c>
      <c r="I302" s="359">
        <v>10</v>
      </c>
      <c r="J302" s="359">
        <v>7</v>
      </c>
      <c r="K302" s="359">
        <v>10</v>
      </c>
      <c r="L302" s="359">
        <v>11</v>
      </c>
      <c r="M302" s="18"/>
    </row>
    <row r="303" spans="3:14" outlineLevel="1" x14ac:dyDescent="0.3">
      <c r="C303" s="8" t="s">
        <v>110</v>
      </c>
      <c r="D303" s="11" t="s">
        <v>141</v>
      </c>
      <c r="E303" s="360"/>
      <c r="F303" s="360"/>
      <c r="G303" s="360"/>
      <c r="H303" s="359">
        <v>16</v>
      </c>
      <c r="I303" s="359">
        <v>15</v>
      </c>
      <c r="J303" s="359">
        <v>16</v>
      </c>
      <c r="K303" s="359">
        <v>15</v>
      </c>
      <c r="L303" s="359">
        <v>15</v>
      </c>
      <c r="M303" s="18"/>
    </row>
    <row r="304" spans="3:14" outlineLevel="1" x14ac:dyDescent="0.3"/>
    <row r="305" spans="2:22" outlineLevel="1" x14ac:dyDescent="0.3">
      <c r="C305" s="2" t="s">
        <v>424</v>
      </c>
      <c r="D305" s="13" t="s">
        <v>141</v>
      </c>
      <c r="E305" s="228">
        <f>SUM(E285:E303)</f>
        <v>0</v>
      </c>
      <c r="F305" s="228">
        <f t="shared" ref="F305:L305" si="13">SUM(F285:F303)</f>
        <v>0</v>
      </c>
      <c r="G305" s="228">
        <f t="shared" si="13"/>
        <v>0</v>
      </c>
      <c r="H305" s="228">
        <f t="shared" si="13"/>
        <v>269</v>
      </c>
      <c r="I305" s="228">
        <f t="shared" si="13"/>
        <v>269</v>
      </c>
      <c r="J305" s="228">
        <f t="shared" si="13"/>
        <v>272</v>
      </c>
      <c r="K305" s="228">
        <f t="shared" si="13"/>
        <v>287</v>
      </c>
      <c r="L305" s="228">
        <f t="shared" si="13"/>
        <v>344.24</v>
      </c>
    </row>
    <row r="306" spans="2:22" x14ac:dyDescent="0.3">
      <c r="H306" s="45"/>
      <c r="I306" s="45"/>
      <c r="J306" s="45"/>
      <c r="K306" s="45"/>
    </row>
    <row r="307" spans="2:22" ht="13.5" x14ac:dyDescent="0.35">
      <c r="B307" s="9" t="s">
        <v>499</v>
      </c>
      <c r="C307" s="9"/>
      <c r="D307" s="10"/>
      <c r="E307" s="9"/>
      <c r="F307" s="9"/>
      <c r="G307" s="9"/>
      <c r="H307" s="9"/>
      <c r="I307" s="9"/>
      <c r="J307" s="9"/>
      <c r="K307" s="9"/>
      <c r="L307" s="9"/>
      <c r="M307" s="9"/>
      <c r="N307" s="154"/>
      <c r="O307" s="154"/>
      <c r="P307" s="154"/>
      <c r="Q307" s="154"/>
      <c r="R307" s="154"/>
      <c r="S307" s="154"/>
      <c r="T307" s="154"/>
      <c r="U307" s="154"/>
      <c r="V307" s="145"/>
    </row>
    <row r="308" spans="2:22" outlineLevel="1" x14ac:dyDescent="0.3"/>
    <row r="309" spans="2:22" ht="13.5" outlineLevel="1" x14ac:dyDescent="0.35">
      <c r="B309" s="31" t="s">
        <v>500</v>
      </c>
      <c r="C309" s="31"/>
      <c r="D309" s="28"/>
      <c r="E309" s="29"/>
      <c r="F309" s="29"/>
      <c r="G309" s="29"/>
      <c r="H309" s="29"/>
      <c r="I309" s="29"/>
      <c r="J309" s="29"/>
      <c r="K309" s="29"/>
      <c r="L309" s="29"/>
      <c r="M309" s="29"/>
      <c r="N309" s="143" t="s">
        <v>501</v>
      </c>
      <c r="O309" s="143"/>
      <c r="P309" s="143"/>
      <c r="Q309" s="143"/>
      <c r="R309" s="143"/>
      <c r="S309" s="143"/>
      <c r="T309" s="143"/>
      <c r="U309" s="143"/>
      <c r="V309" s="146"/>
    </row>
    <row r="310" spans="2:22" outlineLevel="1" x14ac:dyDescent="0.3"/>
    <row r="311" spans="2:22" outlineLevel="1" x14ac:dyDescent="0.3">
      <c r="C311" s="83" t="s">
        <v>80</v>
      </c>
      <c r="D311" s="11" t="s">
        <v>127</v>
      </c>
      <c r="E311" s="128"/>
      <c r="F311" s="128"/>
      <c r="G311" s="128"/>
      <c r="H311" s="352">
        <v>0.51500000000000001</v>
      </c>
      <c r="I311" s="352">
        <v>2.5750000000000002</v>
      </c>
      <c r="J311" s="352">
        <v>4.6349999999999998</v>
      </c>
      <c r="K311" s="352">
        <v>3.09</v>
      </c>
      <c r="L311" s="352">
        <v>3.605</v>
      </c>
      <c r="M311" s="18"/>
      <c r="N311" s="6"/>
    </row>
    <row r="312" spans="2:22" outlineLevel="1" x14ac:dyDescent="0.3">
      <c r="C312" s="8" t="s">
        <v>82</v>
      </c>
      <c r="D312" s="11" t="s">
        <v>127</v>
      </c>
      <c r="E312" s="128"/>
      <c r="F312" s="128"/>
      <c r="G312" s="128"/>
      <c r="H312" s="352">
        <v>0</v>
      </c>
      <c r="I312" s="352">
        <v>0</v>
      </c>
      <c r="J312" s="352">
        <v>0</v>
      </c>
      <c r="K312" s="352">
        <v>0</v>
      </c>
      <c r="L312" s="352">
        <v>0</v>
      </c>
      <c r="M312" s="18"/>
    </row>
    <row r="313" spans="2:22" outlineLevel="1" x14ac:dyDescent="0.3">
      <c r="C313" s="8" t="s">
        <v>85</v>
      </c>
      <c r="D313" s="11" t="s">
        <v>127</v>
      </c>
      <c r="E313" s="128"/>
      <c r="F313" s="128"/>
      <c r="G313" s="128"/>
      <c r="H313" s="128"/>
      <c r="I313" s="128"/>
      <c r="J313" s="128"/>
      <c r="K313" s="352">
        <v>-3.9699999999999999E-2</v>
      </c>
      <c r="L313" s="352">
        <v>0</v>
      </c>
      <c r="M313" s="18"/>
      <c r="N313" s="6"/>
    </row>
    <row r="314" spans="2:22" outlineLevel="1" x14ac:dyDescent="0.3">
      <c r="C314" s="8" t="s">
        <v>87</v>
      </c>
      <c r="D314" s="11" t="s">
        <v>127</v>
      </c>
      <c r="E314" s="128"/>
      <c r="F314" s="128"/>
      <c r="G314" s="128"/>
      <c r="H314" s="352">
        <v>0</v>
      </c>
      <c r="I314" s="352">
        <v>-0.124</v>
      </c>
      <c r="J314" s="352">
        <v>0</v>
      </c>
      <c r="K314" s="352">
        <v>0</v>
      </c>
      <c r="L314" s="352">
        <v>0</v>
      </c>
      <c r="M314" s="18"/>
      <c r="N314" s="6"/>
    </row>
    <row r="315" spans="2:22" outlineLevel="1" x14ac:dyDescent="0.3">
      <c r="C315" s="8" t="s">
        <v>89</v>
      </c>
      <c r="D315" s="11" t="s">
        <v>127</v>
      </c>
      <c r="E315" s="128"/>
      <c r="F315" s="128"/>
      <c r="G315" s="128"/>
      <c r="H315" s="128"/>
      <c r="I315" s="128"/>
      <c r="J315" s="223"/>
      <c r="K315" s="352">
        <v>-2.2808000000000002</v>
      </c>
      <c r="L315" s="352">
        <v>-0.23167200000000002</v>
      </c>
      <c r="M315" s="18"/>
      <c r="N315" s="6"/>
    </row>
    <row r="316" spans="2:22" outlineLevel="1" x14ac:dyDescent="0.3">
      <c r="C316" s="8" t="s">
        <v>120</v>
      </c>
      <c r="D316" s="11" t="s">
        <v>127</v>
      </c>
      <c r="E316" s="128"/>
      <c r="F316" s="128"/>
      <c r="G316" s="128"/>
      <c r="H316" s="352">
        <v>1.107</v>
      </c>
      <c r="I316" s="352">
        <v>0</v>
      </c>
      <c r="J316" s="352">
        <v>-1.722</v>
      </c>
      <c r="K316" s="128"/>
      <c r="L316" s="128"/>
      <c r="M316" s="18"/>
      <c r="N316" s="6"/>
    </row>
    <row r="317" spans="2:22" outlineLevel="1" x14ac:dyDescent="0.3">
      <c r="C317" s="8" t="s">
        <v>91</v>
      </c>
      <c r="D317" s="11" t="s">
        <v>127</v>
      </c>
      <c r="E317" s="128"/>
      <c r="F317" s="128"/>
      <c r="G317" s="128"/>
      <c r="H317" s="352">
        <v>0</v>
      </c>
      <c r="I317" s="352">
        <v>0.80600000000000005</v>
      </c>
      <c r="J317" s="352">
        <v>0.40300000000000002</v>
      </c>
      <c r="K317" s="352">
        <v>0</v>
      </c>
      <c r="L317" s="352">
        <v>0.62080000000000002</v>
      </c>
      <c r="M317" s="18"/>
    </row>
    <row r="318" spans="2:22" outlineLevel="1" x14ac:dyDescent="0.3">
      <c r="C318" s="8" t="s">
        <v>94</v>
      </c>
      <c r="D318" s="11" t="s">
        <v>127</v>
      </c>
      <c r="E318" s="128"/>
      <c r="F318" s="128"/>
      <c r="G318" s="128"/>
      <c r="H318" s="352">
        <v>0</v>
      </c>
      <c r="I318" s="352">
        <v>0</v>
      </c>
      <c r="J318" s="352">
        <v>0</v>
      </c>
      <c r="K318" s="352">
        <v>0</v>
      </c>
      <c r="L318" s="352">
        <v>-2.7374000000000001</v>
      </c>
      <c r="M318" s="18"/>
    </row>
    <row r="319" spans="2:22" outlineLevel="1" x14ac:dyDescent="0.3">
      <c r="C319" s="8" t="s">
        <v>96</v>
      </c>
      <c r="D319" s="11" t="s">
        <v>127</v>
      </c>
      <c r="E319" s="128"/>
      <c r="F319" s="128"/>
      <c r="G319" s="128"/>
      <c r="H319" s="352">
        <v>0</v>
      </c>
      <c r="I319" s="352">
        <v>-8.5500000000000007</v>
      </c>
      <c r="J319" s="352">
        <v>-13.05</v>
      </c>
      <c r="K319" s="352">
        <v>-35.1</v>
      </c>
      <c r="L319" s="352">
        <v>0</v>
      </c>
      <c r="M319" s="18"/>
    </row>
    <row r="320" spans="2:22" outlineLevel="1" x14ac:dyDescent="0.3">
      <c r="C320" s="8" t="s">
        <v>98</v>
      </c>
      <c r="D320" s="11" t="s">
        <v>127</v>
      </c>
      <c r="E320" s="128"/>
      <c r="F320" s="128"/>
      <c r="G320" s="128"/>
      <c r="H320" s="352">
        <v>0</v>
      </c>
      <c r="I320" s="352">
        <v>9.147892262520001</v>
      </c>
      <c r="J320" s="352">
        <v>0</v>
      </c>
      <c r="K320" s="352">
        <v>0</v>
      </c>
      <c r="L320" s="352">
        <v>4.0018000000000002</v>
      </c>
      <c r="M320" s="18"/>
    </row>
    <row r="321" spans="2:22" outlineLevel="1" x14ac:dyDescent="0.3">
      <c r="C321" s="8" t="s">
        <v>100</v>
      </c>
      <c r="D321" s="11" t="s">
        <v>127</v>
      </c>
      <c r="E321" s="128"/>
      <c r="F321" s="128"/>
      <c r="G321" s="128"/>
      <c r="H321" s="352">
        <v>0</v>
      </c>
      <c r="I321" s="352">
        <v>0</v>
      </c>
      <c r="J321" s="352">
        <v>0</v>
      </c>
      <c r="K321" s="352">
        <v>0</v>
      </c>
      <c r="L321" s="352">
        <v>0.33</v>
      </c>
      <c r="M321" s="18"/>
    </row>
    <row r="322" spans="2:22" outlineLevel="1" x14ac:dyDescent="0.3">
      <c r="C322" s="8" t="s">
        <v>102</v>
      </c>
      <c r="D322" s="11" t="s">
        <v>127</v>
      </c>
      <c r="E322" s="128"/>
      <c r="F322" s="128"/>
      <c r="G322" s="128"/>
      <c r="H322" s="352">
        <v>0</v>
      </c>
      <c r="I322" s="352">
        <v>0</v>
      </c>
      <c r="J322" s="352">
        <v>0</v>
      </c>
      <c r="K322" s="352">
        <v>0</v>
      </c>
      <c r="L322" s="352">
        <v>0.16159999999999999</v>
      </c>
      <c r="M322" s="18"/>
    </row>
    <row r="323" spans="2:22" outlineLevel="1" x14ac:dyDescent="0.3">
      <c r="C323" s="8" t="s">
        <v>104</v>
      </c>
      <c r="D323" s="11" t="s">
        <v>127</v>
      </c>
      <c r="E323" s="128"/>
      <c r="F323" s="128"/>
      <c r="G323" s="128"/>
      <c r="H323" s="352">
        <v>0</v>
      </c>
      <c r="I323" s="352">
        <v>0</v>
      </c>
      <c r="J323" s="352">
        <v>-1.0208999999999999</v>
      </c>
      <c r="K323" s="352">
        <v>-6.9720000000000004</v>
      </c>
      <c r="L323" s="352">
        <v>1.26E-2</v>
      </c>
      <c r="M323" s="18"/>
    </row>
    <row r="324" spans="2:22" outlineLevel="1" x14ac:dyDescent="0.3">
      <c r="C324" s="8" t="s">
        <v>106</v>
      </c>
      <c r="D324" s="11" t="s">
        <v>127</v>
      </c>
      <c r="E324" s="128"/>
      <c r="F324" s="128"/>
      <c r="G324" s="128"/>
      <c r="H324" s="352">
        <v>0</v>
      </c>
      <c r="I324" s="352">
        <v>0</v>
      </c>
      <c r="J324" s="352">
        <v>-1.0824</v>
      </c>
      <c r="K324" s="352">
        <v>-1.804</v>
      </c>
      <c r="L324" s="352">
        <v>1.9843999999999999</v>
      </c>
      <c r="M324" s="18"/>
    </row>
    <row r="325" spans="2:22" outlineLevel="1" x14ac:dyDescent="0.3">
      <c r="C325" s="8" t="s">
        <v>122</v>
      </c>
      <c r="D325" s="11" t="s">
        <v>127</v>
      </c>
      <c r="E325" s="128"/>
      <c r="F325" s="128"/>
      <c r="G325" s="128"/>
      <c r="H325" s="352">
        <v>0</v>
      </c>
      <c r="I325" s="352">
        <v>-2.9399999999999999E-2</v>
      </c>
      <c r="J325" s="352">
        <v>-8.7550000000000006E-3</v>
      </c>
      <c r="K325" s="128"/>
      <c r="L325" s="128"/>
      <c r="M325" s="18"/>
    </row>
    <row r="326" spans="2:22" outlineLevel="1" x14ac:dyDescent="0.3">
      <c r="C326" s="8" t="s">
        <v>108</v>
      </c>
      <c r="D326" s="11" t="s">
        <v>127</v>
      </c>
      <c r="E326" s="128"/>
      <c r="F326" s="128"/>
      <c r="G326" s="128"/>
      <c r="H326" s="352">
        <v>0</v>
      </c>
      <c r="I326" s="352">
        <v>0</v>
      </c>
      <c r="J326" s="352">
        <v>0</v>
      </c>
      <c r="K326" s="352">
        <v>0</v>
      </c>
      <c r="L326" s="352">
        <v>7.5999999999999998E-2</v>
      </c>
      <c r="M326" s="18"/>
    </row>
    <row r="327" spans="2:22" outlineLevel="1" x14ac:dyDescent="0.3">
      <c r="C327" s="8" t="s">
        <v>112</v>
      </c>
      <c r="D327" s="11" t="s">
        <v>127</v>
      </c>
      <c r="E327" s="128"/>
      <c r="F327" s="128"/>
      <c r="G327" s="128"/>
      <c r="H327" s="352">
        <v>0.84626632607813057</v>
      </c>
      <c r="I327" s="352">
        <v>0.40899999999999997</v>
      </c>
      <c r="J327" s="352">
        <v>0.189</v>
      </c>
      <c r="K327" s="352">
        <v>0.37799999999999639</v>
      </c>
      <c r="L327" s="352">
        <v>0.22049999999999642</v>
      </c>
      <c r="M327" s="18"/>
    </row>
    <row r="328" spans="2:22" outlineLevel="1" x14ac:dyDescent="0.3">
      <c r="C328" s="8" t="s">
        <v>114</v>
      </c>
      <c r="D328" s="11" t="s">
        <v>127</v>
      </c>
      <c r="E328" s="128"/>
      <c r="F328" s="128"/>
      <c r="G328" s="128"/>
      <c r="H328" s="352">
        <v>0</v>
      </c>
      <c r="I328" s="352">
        <v>-9.7600000000000006E-2</v>
      </c>
      <c r="J328" s="352">
        <v>-0.11895000000000017</v>
      </c>
      <c r="K328" s="352">
        <v>0</v>
      </c>
      <c r="L328" s="352">
        <v>0</v>
      </c>
      <c r="M328" s="18"/>
    </row>
    <row r="329" spans="2:22" outlineLevel="1" x14ac:dyDescent="0.3">
      <c r="C329" s="8" t="s">
        <v>110</v>
      </c>
      <c r="D329" s="11" t="s">
        <v>127</v>
      </c>
      <c r="E329" s="128"/>
      <c r="F329" s="128"/>
      <c r="G329" s="128"/>
      <c r="H329" s="352">
        <v>0</v>
      </c>
      <c r="I329" s="352">
        <v>0</v>
      </c>
      <c r="J329" s="352">
        <v>0</v>
      </c>
      <c r="K329" s="352">
        <v>0</v>
      </c>
      <c r="L329" s="352">
        <v>0</v>
      </c>
      <c r="M329" s="18"/>
    </row>
    <row r="330" spans="2:22" outlineLevel="1" x14ac:dyDescent="0.3"/>
    <row r="331" spans="2:22" ht="13.5" outlineLevel="1" x14ac:dyDescent="0.35">
      <c r="B331" s="31" t="s">
        <v>502</v>
      </c>
      <c r="C331" s="31"/>
      <c r="D331" s="28"/>
      <c r="E331" s="29"/>
      <c r="F331" s="29"/>
      <c r="G331" s="29"/>
      <c r="H331" s="29"/>
      <c r="I331" s="29"/>
      <c r="J331" s="29"/>
      <c r="K331" s="29"/>
      <c r="L331" s="29"/>
      <c r="M331" s="29"/>
      <c r="N331" s="143" t="s">
        <v>501</v>
      </c>
      <c r="O331" s="143"/>
      <c r="P331" s="143"/>
      <c r="Q331" s="143"/>
      <c r="R331" s="143"/>
      <c r="S331" s="143"/>
      <c r="T331" s="143"/>
      <c r="U331" s="143"/>
      <c r="V331" s="146"/>
    </row>
    <row r="332" spans="2:22" outlineLevel="1" x14ac:dyDescent="0.3"/>
    <row r="333" spans="2:22" outlineLevel="1" x14ac:dyDescent="0.3">
      <c r="C333" s="83" t="s">
        <v>80</v>
      </c>
      <c r="D333" s="11" t="s">
        <v>127</v>
      </c>
      <c r="E333" s="128"/>
      <c r="F333" s="128"/>
      <c r="G333" s="128"/>
      <c r="H333" s="352">
        <v>5.6719999999999997</v>
      </c>
      <c r="I333" s="352">
        <v>0.79410000000000003</v>
      </c>
      <c r="J333" s="352">
        <v>5.6719999999999997</v>
      </c>
      <c r="K333" s="352">
        <v>5.6719999999999997</v>
      </c>
      <c r="L333" s="352">
        <v>-8.5619999999999994</v>
      </c>
      <c r="M333" s="18"/>
      <c r="N333" s="6"/>
    </row>
    <row r="334" spans="2:22" outlineLevel="1" x14ac:dyDescent="0.3">
      <c r="C334" s="8" t="s">
        <v>82</v>
      </c>
      <c r="D334" s="11" t="s">
        <v>127</v>
      </c>
      <c r="E334" s="128"/>
      <c r="F334" s="128"/>
      <c r="G334" s="128"/>
      <c r="H334" s="352">
        <v>0</v>
      </c>
      <c r="I334" s="352">
        <v>0</v>
      </c>
      <c r="J334" s="352">
        <v>-3.9</v>
      </c>
      <c r="K334" s="352">
        <v>-0.78</v>
      </c>
      <c r="L334" s="352">
        <v>-0.52649999999999997</v>
      </c>
      <c r="M334" s="18"/>
    </row>
    <row r="335" spans="2:22" outlineLevel="1" x14ac:dyDescent="0.3">
      <c r="C335" s="8" t="s">
        <v>85</v>
      </c>
      <c r="D335" s="11" t="s">
        <v>127</v>
      </c>
      <c r="E335" s="128"/>
      <c r="F335" s="128"/>
      <c r="G335" s="128"/>
      <c r="H335" s="128"/>
      <c r="I335" s="128"/>
      <c r="J335" s="128"/>
      <c r="K335" s="352">
        <v>-0.27050199999999996</v>
      </c>
      <c r="L335" s="352">
        <v>-0.123791</v>
      </c>
      <c r="M335" s="18"/>
      <c r="N335" s="6"/>
    </row>
    <row r="336" spans="2:22" outlineLevel="1" x14ac:dyDescent="0.3">
      <c r="C336" s="8" t="s">
        <v>87</v>
      </c>
      <c r="D336" s="11" t="s">
        <v>127</v>
      </c>
      <c r="E336" s="128"/>
      <c r="F336" s="128"/>
      <c r="G336" s="128"/>
      <c r="H336" s="352">
        <v>3.78</v>
      </c>
      <c r="I336" s="352">
        <v>3.5639999999999996</v>
      </c>
      <c r="J336" s="352">
        <v>0.59399999999999997</v>
      </c>
      <c r="K336" s="352">
        <v>0</v>
      </c>
      <c r="L336" s="352">
        <v>0</v>
      </c>
      <c r="M336" s="18"/>
      <c r="N336" s="6"/>
    </row>
    <row r="337" spans="3:14" outlineLevel="1" x14ac:dyDescent="0.3">
      <c r="C337" s="8" t="s">
        <v>89</v>
      </c>
      <c r="D337" s="11" t="s">
        <v>127</v>
      </c>
      <c r="E337" s="128"/>
      <c r="F337" s="128"/>
      <c r="G337" s="128"/>
      <c r="H337" s="128"/>
      <c r="I337" s="128"/>
      <c r="J337" s="223"/>
      <c r="K337" s="352">
        <v>-7.7125120000000003</v>
      </c>
      <c r="L337" s="352">
        <v>0.77383800000000003</v>
      </c>
      <c r="M337" s="18"/>
      <c r="N337" s="6"/>
    </row>
    <row r="338" spans="3:14" outlineLevel="1" x14ac:dyDescent="0.3">
      <c r="C338" s="8" t="s">
        <v>120</v>
      </c>
      <c r="D338" s="11" t="s">
        <v>127</v>
      </c>
      <c r="E338" s="128"/>
      <c r="F338" s="128"/>
      <c r="G338" s="128"/>
      <c r="H338" s="352">
        <v>0</v>
      </c>
      <c r="I338" s="352">
        <v>2.0569999999999995</v>
      </c>
      <c r="J338" s="352">
        <v>-23.716000000000001</v>
      </c>
      <c r="K338" s="128"/>
      <c r="L338" s="128"/>
      <c r="M338" s="18"/>
      <c r="N338" s="6"/>
    </row>
    <row r="339" spans="3:14" outlineLevel="1" x14ac:dyDescent="0.3">
      <c r="C339" s="8" t="s">
        <v>91</v>
      </c>
      <c r="D339" s="11" t="s">
        <v>127</v>
      </c>
      <c r="E339" s="128"/>
      <c r="F339" s="128"/>
      <c r="G339" s="128"/>
      <c r="H339" s="352">
        <v>-0.94253299999999995</v>
      </c>
      <c r="I339" s="352">
        <v>0.1366</v>
      </c>
      <c r="J339" s="352">
        <v>-1.8669</v>
      </c>
      <c r="K339" s="352">
        <v>0.34470000000000001</v>
      </c>
      <c r="L339" s="352">
        <v>6.5030000000000004E-2</v>
      </c>
      <c r="M339" s="18"/>
    </row>
    <row r="340" spans="3:14" outlineLevel="1" x14ac:dyDescent="0.3">
      <c r="C340" s="8" t="s">
        <v>94</v>
      </c>
      <c r="D340" s="11" t="s">
        <v>127</v>
      </c>
      <c r="E340" s="128"/>
      <c r="F340" s="128"/>
      <c r="G340" s="128"/>
      <c r="H340" s="352">
        <v>0</v>
      </c>
      <c r="I340" s="352">
        <v>0</v>
      </c>
      <c r="J340" s="352">
        <v>-0.28701500000000002</v>
      </c>
      <c r="K340" s="352">
        <v>0</v>
      </c>
      <c r="L340" s="352">
        <v>0</v>
      </c>
      <c r="M340" s="18"/>
    </row>
    <row r="341" spans="3:14" outlineLevel="1" x14ac:dyDescent="0.3">
      <c r="C341" s="8" t="s">
        <v>96</v>
      </c>
      <c r="D341" s="11" t="s">
        <v>127</v>
      </c>
      <c r="E341" s="128"/>
      <c r="F341" s="128"/>
      <c r="G341" s="128"/>
      <c r="H341" s="352">
        <v>3.125</v>
      </c>
      <c r="I341" s="352">
        <v>3.1250000000000027</v>
      </c>
      <c r="J341" s="352">
        <v>-10.67</v>
      </c>
      <c r="K341" s="352">
        <v>-10.67</v>
      </c>
      <c r="L341" s="352">
        <v>3.125</v>
      </c>
      <c r="M341" s="18"/>
    </row>
    <row r="342" spans="3:14" outlineLevel="1" x14ac:dyDescent="0.3">
      <c r="C342" s="8" t="s">
        <v>98</v>
      </c>
      <c r="D342" s="11" t="s">
        <v>127</v>
      </c>
      <c r="E342" s="128"/>
      <c r="F342" s="128"/>
      <c r="G342" s="128"/>
      <c r="H342" s="352">
        <v>0</v>
      </c>
      <c r="I342" s="352">
        <v>0</v>
      </c>
      <c r="J342" s="352">
        <v>-5.9616000000000025</v>
      </c>
      <c r="K342" s="352">
        <v>11.2577</v>
      </c>
      <c r="L342" s="352">
        <v>7.2267000000000001</v>
      </c>
      <c r="M342" s="18"/>
    </row>
    <row r="343" spans="3:14" outlineLevel="1" x14ac:dyDescent="0.3">
      <c r="C343" s="8" t="s">
        <v>100</v>
      </c>
      <c r="D343" s="11" t="s">
        <v>127</v>
      </c>
      <c r="E343" s="128"/>
      <c r="F343" s="128"/>
      <c r="G343" s="128"/>
      <c r="H343" s="352">
        <v>0</v>
      </c>
      <c r="I343" s="352">
        <v>0</v>
      </c>
      <c r="J343" s="352">
        <v>-1.26E-2</v>
      </c>
      <c r="K343" s="352">
        <v>0.22589999999999999</v>
      </c>
      <c r="L343" s="352">
        <v>2.8199999999999999E-2</v>
      </c>
      <c r="M343" s="18"/>
    </row>
    <row r="344" spans="3:14" outlineLevel="1" x14ac:dyDescent="0.3">
      <c r="C344" s="8" t="s">
        <v>102</v>
      </c>
      <c r="D344" s="11" t="s">
        <v>127</v>
      </c>
      <c r="E344" s="128"/>
      <c r="F344" s="128"/>
      <c r="G344" s="128"/>
      <c r="H344" s="352">
        <v>0</v>
      </c>
      <c r="I344" s="352">
        <v>5.7916999999999996</v>
      </c>
      <c r="J344" s="352">
        <v>10.22681744</v>
      </c>
      <c r="K344" s="352">
        <v>4.0176782799999975</v>
      </c>
      <c r="L344" s="352">
        <v>10.226817</v>
      </c>
      <c r="M344" s="18"/>
    </row>
    <row r="345" spans="3:14" outlineLevel="1" x14ac:dyDescent="0.3">
      <c r="C345" s="8" t="s">
        <v>104</v>
      </c>
      <c r="D345" s="11" t="s">
        <v>127</v>
      </c>
      <c r="E345" s="128"/>
      <c r="F345" s="128"/>
      <c r="G345" s="128"/>
      <c r="H345" s="352">
        <v>0</v>
      </c>
      <c r="I345" s="352">
        <v>0</v>
      </c>
      <c r="J345" s="352">
        <v>0</v>
      </c>
      <c r="K345" s="352">
        <v>0</v>
      </c>
      <c r="L345" s="352">
        <v>0</v>
      </c>
      <c r="M345" s="18"/>
    </row>
    <row r="346" spans="3:14" outlineLevel="1" x14ac:dyDescent="0.3">
      <c r="C346" s="8" t="s">
        <v>106</v>
      </c>
      <c r="D346" s="11" t="s">
        <v>127</v>
      </c>
      <c r="E346" s="128"/>
      <c r="F346" s="128"/>
      <c r="G346" s="128"/>
      <c r="H346" s="352">
        <v>-0.7389</v>
      </c>
      <c r="I346" s="352">
        <v>0</v>
      </c>
      <c r="J346" s="352">
        <v>-0.7389</v>
      </c>
      <c r="K346" s="352">
        <v>-0.7389</v>
      </c>
      <c r="L346" s="352">
        <v>0</v>
      </c>
      <c r="M346" s="18"/>
    </row>
    <row r="347" spans="3:14" outlineLevel="1" x14ac:dyDescent="0.3">
      <c r="C347" s="8" t="s">
        <v>122</v>
      </c>
      <c r="D347" s="11" t="s">
        <v>127</v>
      </c>
      <c r="E347" s="128"/>
      <c r="F347" s="128"/>
      <c r="G347" s="128"/>
      <c r="H347" s="352">
        <v>2.0870400000000001E-2</v>
      </c>
      <c r="I347" s="352">
        <v>-8.3567199999999998E-3</v>
      </c>
      <c r="J347" s="352">
        <v>2.0899999999999998E-2</v>
      </c>
      <c r="K347" s="128"/>
      <c r="L347" s="128"/>
      <c r="M347" s="18"/>
    </row>
    <row r="348" spans="3:14" outlineLevel="1" x14ac:dyDescent="0.3">
      <c r="C348" s="8" t="s">
        <v>108</v>
      </c>
      <c r="D348" s="11" t="s">
        <v>127</v>
      </c>
      <c r="E348" s="128"/>
      <c r="F348" s="128"/>
      <c r="G348" s="128"/>
      <c r="H348" s="352">
        <v>0</v>
      </c>
      <c r="I348" s="352">
        <v>0</v>
      </c>
      <c r="J348" s="352">
        <v>0</v>
      </c>
      <c r="K348" s="352">
        <v>1.2087000000000001E-2</v>
      </c>
      <c r="L348" s="352">
        <v>7.2999999999999995E-2</v>
      </c>
      <c r="M348" s="18"/>
    </row>
    <row r="349" spans="3:14" outlineLevel="1" x14ac:dyDescent="0.3">
      <c r="C349" s="8" t="s">
        <v>112</v>
      </c>
      <c r="D349" s="11" t="s">
        <v>127</v>
      </c>
      <c r="E349" s="128"/>
      <c r="F349" s="128"/>
      <c r="G349" s="128"/>
      <c r="H349" s="352">
        <v>-0.93184</v>
      </c>
      <c r="I349" s="352">
        <v>0</v>
      </c>
      <c r="J349" s="352">
        <v>-1.331</v>
      </c>
      <c r="K349" s="352">
        <v>-0.2928639999999999</v>
      </c>
      <c r="L349" s="352">
        <v>0.26600000000000001</v>
      </c>
      <c r="M349" s="18"/>
    </row>
    <row r="350" spans="3:14" outlineLevel="1" x14ac:dyDescent="0.3">
      <c r="C350" s="8" t="s">
        <v>114</v>
      </c>
      <c r="D350" s="11" t="s">
        <v>127</v>
      </c>
      <c r="E350" s="128"/>
      <c r="F350" s="128"/>
      <c r="G350" s="128"/>
      <c r="H350" s="352">
        <v>0.90600000000000003</v>
      </c>
      <c r="I350" s="352">
        <v>0.90600000000000003</v>
      </c>
      <c r="J350" s="352">
        <v>0.21204929999999989</v>
      </c>
      <c r="K350" s="352">
        <v>0.83809999999999996</v>
      </c>
      <c r="L350" s="352">
        <v>0.90600000000000003</v>
      </c>
      <c r="M350" s="18"/>
    </row>
    <row r="351" spans="3:14" outlineLevel="1" x14ac:dyDescent="0.3">
      <c r="C351" s="8" t="s">
        <v>110</v>
      </c>
      <c r="D351" s="11" t="s">
        <v>127</v>
      </c>
      <c r="E351" s="128"/>
      <c r="F351" s="128"/>
      <c r="G351" s="128"/>
      <c r="H351" s="352">
        <v>0.2</v>
      </c>
      <c r="I351" s="352">
        <v>0.254</v>
      </c>
      <c r="J351" s="352">
        <v>0.29239999999999999</v>
      </c>
      <c r="K351" s="352">
        <v>-0.13700000000000001</v>
      </c>
      <c r="L351" s="352">
        <v>0.36</v>
      </c>
      <c r="M351" s="18"/>
    </row>
    <row r="352" spans="3:14" outlineLevel="1" x14ac:dyDescent="0.3"/>
    <row r="353" spans="2:22" ht="13.5" outlineLevel="1" x14ac:dyDescent="0.35">
      <c r="B353" s="31" t="s">
        <v>503</v>
      </c>
      <c r="C353" s="31"/>
      <c r="D353" s="28"/>
      <c r="E353" s="29"/>
      <c r="F353" s="29"/>
      <c r="G353" s="29"/>
      <c r="H353" s="29"/>
      <c r="I353" s="29"/>
      <c r="J353" s="29"/>
      <c r="K353" s="29"/>
      <c r="L353" s="29"/>
      <c r="M353" s="29"/>
      <c r="N353" s="143" t="s">
        <v>501</v>
      </c>
      <c r="O353" s="143"/>
      <c r="P353" s="143"/>
      <c r="Q353" s="143"/>
      <c r="R353" s="143"/>
      <c r="S353" s="143"/>
      <c r="T353" s="143"/>
      <c r="U353" s="143"/>
      <c r="V353" s="146"/>
    </row>
    <row r="354" spans="2:22" outlineLevel="1" x14ac:dyDescent="0.3"/>
    <row r="355" spans="2:22" outlineLevel="1" x14ac:dyDescent="0.3">
      <c r="C355" s="83" t="s">
        <v>80</v>
      </c>
      <c r="D355" s="11" t="s">
        <v>127</v>
      </c>
      <c r="E355" s="128"/>
      <c r="F355" s="128"/>
      <c r="G355" s="128"/>
      <c r="H355" s="352">
        <v>0</v>
      </c>
      <c r="I355" s="352">
        <v>0</v>
      </c>
      <c r="J355" s="352">
        <v>0</v>
      </c>
      <c r="K355" s="352">
        <v>0</v>
      </c>
      <c r="L355" s="352">
        <v>8.64</v>
      </c>
      <c r="M355" s="18"/>
      <c r="N355" s="6"/>
    </row>
    <row r="356" spans="2:22" outlineLevel="1" x14ac:dyDescent="0.3">
      <c r="C356" s="8" t="s">
        <v>82</v>
      </c>
      <c r="D356" s="11" t="s">
        <v>127</v>
      </c>
      <c r="E356" s="128"/>
      <c r="F356" s="128"/>
      <c r="G356" s="128"/>
      <c r="H356" s="352">
        <v>0</v>
      </c>
      <c r="I356" s="352">
        <v>1.86</v>
      </c>
      <c r="J356" s="352">
        <v>1.488</v>
      </c>
      <c r="K356" s="352">
        <v>1.6739999999999999</v>
      </c>
      <c r="L356" s="352">
        <v>1.1779999999999999</v>
      </c>
      <c r="M356" s="18"/>
    </row>
    <row r="357" spans="2:22" outlineLevel="1" x14ac:dyDescent="0.3">
      <c r="C357" s="8" t="s">
        <v>85</v>
      </c>
      <c r="D357" s="11" t="s">
        <v>127</v>
      </c>
      <c r="E357" s="128"/>
      <c r="F357" s="128"/>
      <c r="G357" s="128"/>
      <c r="H357" s="128"/>
      <c r="I357" s="128"/>
      <c r="J357" s="128"/>
      <c r="K357" s="352">
        <v>1.2329999999999999E-3</v>
      </c>
      <c r="L357" s="352">
        <v>-0.12845999999999999</v>
      </c>
      <c r="M357" s="18"/>
      <c r="N357" s="6"/>
    </row>
    <row r="358" spans="2:22" outlineLevel="1" x14ac:dyDescent="0.3">
      <c r="C358" s="8" t="s">
        <v>87</v>
      </c>
      <c r="D358" s="11" t="s">
        <v>127</v>
      </c>
      <c r="E358" s="128"/>
      <c r="F358" s="128"/>
      <c r="G358" s="128"/>
      <c r="H358" s="352">
        <v>0.55900000000000005</v>
      </c>
      <c r="I358" s="352">
        <v>0.871</v>
      </c>
      <c r="J358" s="352">
        <v>1.17</v>
      </c>
      <c r="K358" s="352">
        <v>0.80600000000000005</v>
      </c>
      <c r="L358" s="352">
        <v>0.61099999999999999</v>
      </c>
      <c r="M358" s="18"/>
      <c r="N358" s="6"/>
    </row>
    <row r="359" spans="2:22" outlineLevel="1" x14ac:dyDescent="0.3">
      <c r="C359" s="8" t="s">
        <v>89</v>
      </c>
      <c r="D359" s="11" t="s">
        <v>127</v>
      </c>
      <c r="E359" s="128"/>
      <c r="F359" s="128"/>
      <c r="G359" s="128"/>
      <c r="H359" s="128"/>
      <c r="I359" s="128"/>
      <c r="J359" s="223"/>
      <c r="K359" s="352">
        <v>-1.0055829999999999</v>
      </c>
      <c r="L359" s="352">
        <v>-11.51858</v>
      </c>
      <c r="M359" s="18"/>
      <c r="N359" s="6"/>
    </row>
    <row r="360" spans="2:22" outlineLevel="1" x14ac:dyDescent="0.3">
      <c r="C360" s="8" t="s">
        <v>120</v>
      </c>
      <c r="D360" s="11" t="s">
        <v>127</v>
      </c>
      <c r="E360" s="128"/>
      <c r="F360" s="128"/>
      <c r="G360" s="128"/>
      <c r="H360" s="352">
        <v>8.9922000000000004</v>
      </c>
      <c r="I360" s="352">
        <v>3.5463520000000002</v>
      </c>
      <c r="J360" s="352">
        <v>12.760359999999999</v>
      </c>
      <c r="K360" s="128"/>
      <c r="L360" s="128"/>
      <c r="M360" s="18"/>
      <c r="N360" s="6"/>
    </row>
    <row r="361" spans="2:22" outlineLevel="1" x14ac:dyDescent="0.3">
      <c r="C361" s="8" t="s">
        <v>91</v>
      </c>
      <c r="D361" s="11" t="s">
        <v>127</v>
      </c>
      <c r="E361" s="128"/>
      <c r="F361" s="128"/>
      <c r="G361" s="128"/>
      <c r="H361" s="352">
        <v>0</v>
      </c>
      <c r="I361" s="352">
        <v>0</v>
      </c>
      <c r="J361" s="352">
        <v>0.20399999999999999</v>
      </c>
      <c r="K361" s="352">
        <v>2.1760000000000002</v>
      </c>
      <c r="L361" s="352">
        <v>0</v>
      </c>
      <c r="M361" s="18"/>
    </row>
    <row r="362" spans="2:22" outlineLevel="1" x14ac:dyDescent="0.3">
      <c r="C362" s="8" t="s">
        <v>94</v>
      </c>
      <c r="D362" s="11" t="s">
        <v>127</v>
      </c>
      <c r="E362" s="128"/>
      <c r="F362" s="128"/>
      <c r="G362" s="128"/>
      <c r="H362" s="352">
        <v>0</v>
      </c>
      <c r="I362" s="352">
        <v>0</v>
      </c>
      <c r="J362" s="352">
        <v>0</v>
      </c>
      <c r="K362" s="352">
        <v>0</v>
      </c>
      <c r="L362" s="352">
        <v>0</v>
      </c>
      <c r="M362" s="18"/>
    </row>
    <row r="363" spans="2:22" outlineLevel="1" x14ac:dyDescent="0.3">
      <c r="C363" s="8" t="s">
        <v>96</v>
      </c>
      <c r="D363" s="11" t="s">
        <v>127</v>
      </c>
      <c r="E363" s="128"/>
      <c r="F363" s="128"/>
      <c r="G363" s="128"/>
      <c r="H363" s="352">
        <v>-11.7</v>
      </c>
      <c r="I363" s="352">
        <v>-0.45</v>
      </c>
      <c r="J363" s="352">
        <v>1.2649999999999999</v>
      </c>
      <c r="K363" s="352">
        <v>2.915</v>
      </c>
      <c r="L363" s="352">
        <v>1.4850000000000001</v>
      </c>
      <c r="M363" s="18"/>
    </row>
    <row r="364" spans="2:22" outlineLevel="1" x14ac:dyDescent="0.3">
      <c r="C364" s="8" t="s">
        <v>98</v>
      </c>
      <c r="D364" s="11" t="s">
        <v>127</v>
      </c>
      <c r="E364" s="128"/>
      <c r="F364" s="128"/>
      <c r="G364" s="128"/>
      <c r="H364" s="352">
        <v>0</v>
      </c>
      <c r="I364" s="352">
        <v>-1.484</v>
      </c>
      <c r="J364" s="352">
        <v>0</v>
      </c>
      <c r="K364" s="352">
        <v>0.56999999999999995</v>
      </c>
      <c r="L364" s="352">
        <v>-8.3312000000000008</v>
      </c>
      <c r="M364" s="18"/>
    </row>
    <row r="365" spans="2:22" outlineLevel="1" x14ac:dyDescent="0.3">
      <c r="C365" s="8" t="s">
        <v>100</v>
      </c>
      <c r="D365" s="11" t="s">
        <v>127</v>
      </c>
      <c r="E365" s="128"/>
      <c r="F365" s="128"/>
      <c r="G365" s="128"/>
      <c r="H365" s="352">
        <v>5.0999999999999996</v>
      </c>
      <c r="I365" s="352">
        <v>5.508</v>
      </c>
      <c r="J365" s="352">
        <v>5.508</v>
      </c>
      <c r="K365" s="352">
        <v>2.448</v>
      </c>
      <c r="L365" s="352">
        <v>5.508</v>
      </c>
      <c r="M365" s="18"/>
    </row>
    <row r="366" spans="2:22" outlineLevel="1" x14ac:dyDescent="0.3">
      <c r="C366" s="8" t="s">
        <v>102</v>
      </c>
      <c r="D366" s="11" t="s">
        <v>127</v>
      </c>
      <c r="E366" s="128"/>
      <c r="F366" s="128"/>
      <c r="G366" s="128"/>
      <c r="H366" s="352">
        <v>0</v>
      </c>
      <c r="I366" s="352">
        <v>2.2423999999999999</v>
      </c>
      <c r="J366" s="352">
        <v>7.2446219999999997</v>
      </c>
      <c r="K366" s="352">
        <v>6.6696520000000001</v>
      </c>
      <c r="L366" s="352">
        <v>9.0270290000000006</v>
      </c>
      <c r="M366" s="18"/>
    </row>
    <row r="367" spans="2:22" outlineLevel="1" x14ac:dyDescent="0.3"/>
    <row r="368" spans="2:22" ht="13.5" outlineLevel="1" x14ac:dyDescent="0.35">
      <c r="B368" s="31" t="s">
        <v>504</v>
      </c>
      <c r="C368" s="31"/>
      <c r="D368" s="28"/>
      <c r="E368" s="29"/>
      <c r="F368" s="29"/>
      <c r="G368" s="29"/>
      <c r="H368" s="29"/>
      <c r="I368" s="29"/>
      <c r="J368" s="29"/>
      <c r="K368" s="29"/>
      <c r="L368" s="29"/>
      <c r="M368" s="29"/>
      <c r="N368" s="143" t="s">
        <v>501</v>
      </c>
      <c r="O368" s="143"/>
      <c r="P368" s="143"/>
      <c r="Q368" s="143"/>
      <c r="R368" s="143"/>
      <c r="S368" s="143"/>
      <c r="T368" s="143"/>
      <c r="U368" s="143"/>
      <c r="V368" s="146"/>
    </row>
    <row r="369" spans="2:22" outlineLevel="1" x14ac:dyDescent="0.3"/>
    <row r="370" spans="2:22" outlineLevel="1" x14ac:dyDescent="0.3">
      <c r="C370" s="83" t="s">
        <v>80</v>
      </c>
      <c r="D370" s="11" t="s">
        <v>127</v>
      </c>
      <c r="E370" s="128"/>
      <c r="F370" s="128"/>
      <c r="G370" s="128"/>
      <c r="H370" s="352">
        <v>4.3890000000000002</v>
      </c>
      <c r="I370" s="352">
        <v>2.3085</v>
      </c>
      <c r="J370" s="352">
        <v>2.2519999999999998</v>
      </c>
      <c r="K370" s="352">
        <v>3.2204999999999999</v>
      </c>
      <c r="L370" s="352">
        <v>1.254</v>
      </c>
      <c r="M370" s="18"/>
      <c r="N370" s="6"/>
    </row>
    <row r="371" spans="2:22" outlineLevel="1" x14ac:dyDescent="0.3">
      <c r="C371" s="8" t="s">
        <v>82</v>
      </c>
      <c r="D371" s="11" t="s">
        <v>127</v>
      </c>
      <c r="E371" s="128"/>
      <c r="F371" s="128"/>
      <c r="G371" s="128"/>
      <c r="H371" s="352">
        <v>0.98699999999999999</v>
      </c>
      <c r="I371" s="352">
        <v>0.94</v>
      </c>
      <c r="J371" s="352">
        <v>0.89300000000000002</v>
      </c>
      <c r="K371" s="352">
        <v>0.61099999999999999</v>
      </c>
      <c r="L371" s="352">
        <v>0.51700000000000002</v>
      </c>
      <c r="M371" s="18"/>
    </row>
    <row r="372" spans="2:22" outlineLevel="1" x14ac:dyDescent="0.3">
      <c r="C372" s="8" t="s">
        <v>85</v>
      </c>
      <c r="D372" s="11" t="s">
        <v>127</v>
      </c>
      <c r="E372" s="128"/>
      <c r="F372" s="128"/>
      <c r="G372" s="128"/>
      <c r="H372" s="128"/>
      <c r="I372" s="128"/>
      <c r="J372" s="128"/>
      <c r="K372" s="352">
        <v>2.0695000000000002E-3</v>
      </c>
      <c r="L372" s="352">
        <v>0</v>
      </c>
      <c r="M372" s="18"/>
      <c r="N372" s="6"/>
    </row>
    <row r="373" spans="2:22" outlineLevel="1" x14ac:dyDescent="0.3">
      <c r="C373" s="8" t="s">
        <v>87</v>
      </c>
      <c r="D373" s="11" t="s">
        <v>127</v>
      </c>
      <c r="E373" s="128"/>
      <c r="F373" s="128"/>
      <c r="G373" s="128"/>
      <c r="H373" s="352">
        <v>0</v>
      </c>
      <c r="I373" s="352">
        <v>0</v>
      </c>
      <c r="J373" s="352">
        <v>0</v>
      </c>
      <c r="K373" s="352">
        <v>6.4000000000000001E-2</v>
      </c>
      <c r="L373" s="352">
        <v>0.27200000000000002</v>
      </c>
      <c r="M373" s="18"/>
      <c r="N373" s="6"/>
    </row>
    <row r="374" spans="2:22" outlineLevel="1" x14ac:dyDescent="0.3">
      <c r="C374" s="8" t="s">
        <v>89</v>
      </c>
      <c r="D374" s="11" t="s">
        <v>127</v>
      </c>
      <c r="E374" s="128"/>
      <c r="F374" s="128"/>
      <c r="G374" s="128"/>
      <c r="H374" s="128"/>
      <c r="I374" s="128"/>
      <c r="J374" s="223"/>
      <c r="K374" s="352">
        <v>0.46828599999999998</v>
      </c>
      <c r="L374" s="352">
        <v>1.617</v>
      </c>
      <c r="M374" s="18"/>
      <c r="N374" s="6"/>
    </row>
    <row r="375" spans="2:22" outlineLevel="1" x14ac:dyDescent="0.3">
      <c r="C375" s="8" t="s">
        <v>120</v>
      </c>
      <c r="D375" s="11" t="s">
        <v>127</v>
      </c>
      <c r="E375" s="128"/>
      <c r="F375" s="128"/>
      <c r="G375" s="128"/>
      <c r="H375" s="352">
        <v>4.3658999999999999</v>
      </c>
      <c r="I375" s="352">
        <v>3.9347000000000003</v>
      </c>
      <c r="J375" s="352">
        <v>2.5333000000000001</v>
      </c>
      <c r="K375" s="128"/>
      <c r="L375" s="128"/>
      <c r="M375" s="18"/>
      <c r="N375" s="6"/>
    </row>
    <row r="376" spans="2:22" outlineLevel="1" x14ac:dyDescent="0.3">
      <c r="C376" s="8" t="s">
        <v>91</v>
      </c>
      <c r="D376" s="11" t="s">
        <v>127</v>
      </c>
      <c r="E376" s="128"/>
      <c r="F376" s="128"/>
      <c r="G376" s="128"/>
      <c r="H376" s="352">
        <v>-1.752</v>
      </c>
      <c r="I376" s="352">
        <v>-1.1412</v>
      </c>
      <c r="J376" s="352">
        <v>-0.73470000000000002</v>
      </c>
      <c r="K376" s="352">
        <v>-0.79400000000000004</v>
      </c>
      <c r="L376" s="352">
        <v>-1.1312</v>
      </c>
      <c r="M376" s="18"/>
    </row>
    <row r="377" spans="2:22" outlineLevel="1" x14ac:dyDescent="0.3">
      <c r="C377" s="8" t="s">
        <v>94</v>
      </c>
      <c r="D377" s="11" t="s">
        <v>127</v>
      </c>
      <c r="E377" s="128"/>
      <c r="F377" s="128"/>
      <c r="G377" s="128"/>
      <c r="H377" s="352">
        <v>0</v>
      </c>
      <c r="I377" s="352">
        <v>0</v>
      </c>
      <c r="J377" s="352">
        <v>0</v>
      </c>
      <c r="K377" s="352">
        <v>0</v>
      </c>
      <c r="L377" s="352">
        <v>-2.16</v>
      </c>
      <c r="M377" s="18"/>
    </row>
    <row r="378" spans="2:22" outlineLevel="1" x14ac:dyDescent="0.3">
      <c r="C378" s="8" t="s">
        <v>96</v>
      </c>
      <c r="D378" s="11" t="s">
        <v>127</v>
      </c>
      <c r="E378" s="128"/>
      <c r="F378" s="128"/>
      <c r="G378" s="128"/>
      <c r="H378" s="352">
        <v>0</v>
      </c>
      <c r="I378" s="352">
        <v>0</v>
      </c>
      <c r="J378" s="352">
        <v>0</v>
      </c>
      <c r="K378" s="352">
        <v>0</v>
      </c>
      <c r="L378" s="352">
        <v>0</v>
      </c>
      <c r="M378" s="18"/>
    </row>
    <row r="379" spans="2:22" outlineLevel="1" x14ac:dyDescent="0.3">
      <c r="C379" s="8" t="s">
        <v>98</v>
      </c>
      <c r="D379" s="11" t="s">
        <v>127</v>
      </c>
      <c r="E379" s="128"/>
      <c r="F379" s="128"/>
      <c r="G379" s="128"/>
      <c r="H379" s="352">
        <v>3.278</v>
      </c>
      <c r="I379" s="352">
        <v>3.278</v>
      </c>
      <c r="J379" s="352">
        <v>3.278</v>
      </c>
      <c r="K379" s="352">
        <v>3.278</v>
      </c>
      <c r="L379" s="352">
        <v>3.278</v>
      </c>
      <c r="M379" s="18"/>
    </row>
    <row r="380" spans="2:22" outlineLevel="1" x14ac:dyDescent="0.3">
      <c r="C380" s="8" t="s">
        <v>100</v>
      </c>
      <c r="D380" s="11" t="s">
        <v>127</v>
      </c>
      <c r="E380" s="128"/>
      <c r="F380" s="128"/>
      <c r="G380" s="128"/>
      <c r="H380" s="352">
        <v>0</v>
      </c>
      <c r="I380" s="352">
        <v>0</v>
      </c>
      <c r="J380" s="352">
        <v>0</v>
      </c>
      <c r="K380" s="352">
        <v>0</v>
      </c>
      <c r="L380" s="352">
        <v>0</v>
      </c>
      <c r="M380" s="18"/>
    </row>
    <row r="381" spans="2:22" outlineLevel="1" x14ac:dyDescent="0.3">
      <c r="C381" s="8" t="s">
        <v>102</v>
      </c>
      <c r="D381" s="11" t="s">
        <v>127</v>
      </c>
      <c r="E381" s="128"/>
      <c r="F381" s="128"/>
      <c r="G381" s="128"/>
      <c r="H381" s="352">
        <v>5.7391230000000002</v>
      </c>
      <c r="I381" s="352">
        <v>0.74050000000000005</v>
      </c>
      <c r="J381" s="352">
        <v>1.6661969999999999</v>
      </c>
      <c r="K381" s="352">
        <v>4.2580589999999994</v>
      </c>
      <c r="L381" s="352">
        <v>9.6269159999999996</v>
      </c>
      <c r="M381" s="18"/>
    </row>
    <row r="382" spans="2:22" outlineLevel="1" x14ac:dyDescent="0.3"/>
    <row r="383" spans="2:22" ht="13.5" outlineLevel="1" x14ac:dyDescent="0.35">
      <c r="B383" s="31" t="s">
        <v>505</v>
      </c>
      <c r="C383" s="31"/>
      <c r="D383" s="28"/>
      <c r="E383" s="29"/>
      <c r="F383" s="29"/>
      <c r="G383" s="29"/>
      <c r="H383" s="29"/>
      <c r="I383" s="29"/>
      <c r="J383" s="29"/>
      <c r="K383" s="29"/>
      <c r="L383" s="29"/>
      <c r="M383" s="29"/>
      <c r="N383" s="143" t="s">
        <v>501</v>
      </c>
      <c r="O383" s="143"/>
      <c r="P383" s="143"/>
      <c r="Q383" s="143"/>
      <c r="R383" s="143"/>
      <c r="S383" s="143"/>
      <c r="T383" s="143"/>
      <c r="U383" s="143"/>
      <c r="V383" s="146"/>
    </row>
    <row r="384" spans="2:22" outlineLevel="1" x14ac:dyDescent="0.3"/>
    <row r="385" spans="3:14" outlineLevel="1" x14ac:dyDescent="0.3">
      <c r="C385" s="83" t="s">
        <v>80</v>
      </c>
      <c r="D385" s="11" t="s">
        <v>127</v>
      </c>
      <c r="E385" s="128"/>
      <c r="F385" s="128"/>
      <c r="G385" s="128"/>
      <c r="H385" s="352">
        <v>0.44999999999999996</v>
      </c>
      <c r="I385" s="352">
        <v>-0.35799999999999998</v>
      </c>
      <c r="J385" s="352">
        <v>0.8</v>
      </c>
      <c r="K385" s="352">
        <v>0.20889999999999997</v>
      </c>
      <c r="L385" s="352">
        <v>-13.166799999999999</v>
      </c>
      <c r="M385" s="18"/>
      <c r="N385" s="6"/>
    </row>
    <row r="386" spans="3:14" outlineLevel="1" x14ac:dyDescent="0.3">
      <c r="C386" s="8" t="s">
        <v>82</v>
      </c>
      <c r="D386" s="11" t="s">
        <v>127</v>
      </c>
      <c r="E386" s="128"/>
      <c r="F386" s="128"/>
      <c r="G386" s="128"/>
      <c r="H386" s="352">
        <v>0</v>
      </c>
      <c r="I386" s="352">
        <v>0</v>
      </c>
      <c r="J386" s="352">
        <v>-1.86</v>
      </c>
      <c r="K386" s="352">
        <v>-1.86</v>
      </c>
      <c r="L386" s="352">
        <v>-4.3600000000000003</v>
      </c>
      <c r="M386" s="18"/>
    </row>
    <row r="387" spans="3:14" outlineLevel="1" x14ac:dyDescent="0.3">
      <c r="C387" s="8" t="s">
        <v>85</v>
      </c>
      <c r="D387" s="11" t="s">
        <v>127</v>
      </c>
      <c r="E387" s="128"/>
      <c r="F387" s="128"/>
      <c r="G387" s="128"/>
      <c r="H387" s="128"/>
      <c r="I387" s="128"/>
      <c r="J387" s="128"/>
      <c r="K387" s="352">
        <v>-0.12256709999999998</v>
      </c>
      <c r="L387" s="352">
        <v>-0.19573400000000002</v>
      </c>
      <c r="M387" s="18"/>
      <c r="N387" s="6"/>
    </row>
    <row r="388" spans="3:14" outlineLevel="1" x14ac:dyDescent="0.3">
      <c r="C388" s="8" t="s">
        <v>87</v>
      </c>
      <c r="D388" s="11" t="s">
        <v>127</v>
      </c>
      <c r="E388" s="128"/>
      <c r="F388" s="128"/>
      <c r="G388" s="128"/>
      <c r="H388" s="352">
        <v>0.156</v>
      </c>
      <c r="I388" s="352">
        <v>0.6</v>
      </c>
      <c r="J388" s="352">
        <v>2.0133000000000001</v>
      </c>
      <c r="K388" s="352">
        <v>-4.0587999999999997</v>
      </c>
      <c r="L388" s="352">
        <v>-1.0727500000000003</v>
      </c>
      <c r="M388" s="18"/>
      <c r="N388" s="6"/>
    </row>
    <row r="389" spans="3:14" outlineLevel="1" x14ac:dyDescent="0.3">
      <c r="C389" s="8" t="s">
        <v>89</v>
      </c>
      <c r="D389" s="11" t="s">
        <v>127</v>
      </c>
      <c r="E389" s="128"/>
      <c r="F389" s="128"/>
      <c r="G389" s="128"/>
      <c r="H389" s="128"/>
      <c r="I389" s="128"/>
      <c r="J389" s="223"/>
      <c r="K389" s="352">
        <v>7.2277429999999985</v>
      </c>
      <c r="L389" s="352">
        <v>38.871636000000002</v>
      </c>
      <c r="M389" s="18"/>
      <c r="N389" s="6"/>
    </row>
    <row r="390" spans="3:14" outlineLevel="1" x14ac:dyDescent="0.3">
      <c r="C390" s="8" t="s">
        <v>120</v>
      </c>
      <c r="D390" s="11" t="s">
        <v>127</v>
      </c>
      <c r="E390" s="128"/>
      <c r="F390" s="128"/>
      <c r="G390" s="128"/>
      <c r="H390" s="352">
        <v>4.3215615200000004</v>
      </c>
      <c r="I390" s="352">
        <v>28.827958000001622</v>
      </c>
      <c r="J390" s="352">
        <v>68.15435500000001</v>
      </c>
      <c r="K390" s="128"/>
      <c r="L390" s="128"/>
      <c r="M390" s="18"/>
      <c r="N390" s="6"/>
    </row>
    <row r="391" spans="3:14" outlineLevel="1" x14ac:dyDescent="0.3">
      <c r="C391" s="8" t="s">
        <v>91</v>
      </c>
      <c r="D391" s="11" t="s">
        <v>127</v>
      </c>
      <c r="E391" s="128"/>
      <c r="F391" s="128"/>
      <c r="G391" s="128"/>
      <c r="H391" s="352">
        <v>2.9005999999999998</v>
      </c>
      <c r="I391" s="352">
        <v>2.194</v>
      </c>
      <c r="J391" s="352">
        <v>2.0562999999999998</v>
      </c>
      <c r="K391" s="352">
        <v>2.4051</v>
      </c>
      <c r="L391" s="352">
        <v>2.4831300000000001</v>
      </c>
      <c r="M391" s="18"/>
    </row>
    <row r="392" spans="3:14" outlineLevel="1" x14ac:dyDescent="0.3">
      <c r="C392" s="8" t="s">
        <v>94</v>
      </c>
      <c r="D392" s="11" t="s">
        <v>127</v>
      </c>
      <c r="E392" s="128"/>
      <c r="F392" s="128"/>
      <c r="G392" s="128"/>
      <c r="H392" s="352">
        <v>-1.4575</v>
      </c>
      <c r="I392" s="352">
        <v>0</v>
      </c>
      <c r="J392" s="352">
        <v>0</v>
      </c>
      <c r="K392" s="352">
        <v>-0.34600000000000009</v>
      </c>
      <c r="L392" s="352">
        <v>2.0969000000000002</v>
      </c>
      <c r="M392" s="18"/>
    </row>
    <row r="393" spans="3:14" outlineLevel="1" x14ac:dyDescent="0.3">
      <c r="C393" s="8" t="s">
        <v>96</v>
      </c>
      <c r="D393" s="11" t="s">
        <v>127</v>
      </c>
      <c r="E393" s="128"/>
      <c r="F393" s="128"/>
      <c r="G393" s="128"/>
      <c r="H393" s="352">
        <v>-4.6749999999999998</v>
      </c>
      <c r="I393" s="352">
        <v>-9.1343999999999994</v>
      </c>
      <c r="J393" s="352">
        <v>-11.423999999999999</v>
      </c>
      <c r="K393" s="352">
        <v>-8.8059399999999997</v>
      </c>
      <c r="L393" s="352">
        <v>-133.78614000000002</v>
      </c>
      <c r="M393" s="18"/>
    </row>
    <row r="394" spans="3:14" outlineLevel="1" x14ac:dyDescent="0.3">
      <c r="C394" s="8" t="s">
        <v>98</v>
      </c>
      <c r="D394" s="11" t="s">
        <v>127</v>
      </c>
      <c r="E394" s="128"/>
      <c r="F394" s="128"/>
      <c r="G394" s="128"/>
      <c r="H394" s="352">
        <v>-0.7620590000000016</v>
      </c>
      <c r="I394" s="352">
        <v>-4.2232000000000047</v>
      </c>
      <c r="J394" s="352">
        <v>-4.3471000000000037</v>
      </c>
      <c r="K394" s="352">
        <v>4.1402920000000005</v>
      </c>
      <c r="L394" s="352">
        <v>10.2913</v>
      </c>
      <c r="M394" s="18"/>
    </row>
    <row r="395" spans="3:14" outlineLevel="1" x14ac:dyDescent="0.3">
      <c r="C395" s="8" t="s">
        <v>100</v>
      </c>
      <c r="D395" s="11" t="s">
        <v>127</v>
      </c>
      <c r="E395" s="128"/>
      <c r="F395" s="128"/>
      <c r="G395" s="128"/>
      <c r="H395" s="352">
        <v>-1.8E-3</v>
      </c>
      <c r="I395" s="352">
        <v>-6.0000000000000001E-3</v>
      </c>
      <c r="J395" s="352">
        <v>1.0819999999999999</v>
      </c>
      <c r="K395" s="352">
        <v>-0.17200000000000001</v>
      </c>
      <c r="L395" s="352">
        <v>-0.17200000000000001</v>
      </c>
      <c r="M395" s="18"/>
    </row>
    <row r="396" spans="3:14" outlineLevel="1" x14ac:dyDescent="0.3">
      <c r="C396" s="8" t="s">
        <v>102</v>
      </c>
      <c r="D396" s="11" t="s">
        <v>127</v>
      </c>
      <c r="E396" s="128"/>
      <c r="F396" s="128"/>
      <c r="G396" s="128"/>
      <c r="H396" s="352">
        <v>4.7909999999999999E-4</v>
      </c>
      <c r="I396" s="352">
        <v>3.8099999999999999E-4</v>
      </c>
      <c r="J396" s="352">
        <v>-6.4826163374999997</v>
      </c>
      <c r="K396" s="352">
        <v>-6.1091691999999993</v>
      </c>
      <c r="L396" s="352">
        <v>-1.6632179999999999</v>
      </c>
      <c r="M396" s="18"/>
    </row>
    <row r="397" spans="3:14" outlineLevel="1" x14ac:dyDescent="0.3">
      <c r="C397" s="8" t="s">
        <v>104</v>
      </c>
      <c r="D397" s="11" t="s">
        <v>127</v>
      </c>
      <c r="E397" s="128"/>
      <c r="F397" s="128"/>
      <c r="G397" s="128"/>
      <c r="H397" s="352">
        <v>-1.6375500000000001</v>
      </c>
      <c r="I397" s="352">
        <v>-1.6375999999999999</v>
      </c>
      <c r="J397" s="352">
        <v>-0.3727999999999998</v>
      </c>
      <c r="K397" s="352">
        <v>0</v>
      </c>
      <c r="L397" s="352">
        <v>-1.75</v>
      </c>
      <c r="M397" s="18"/>
    </row>
    <row r="398" spans="3:14" outlineLevel="1" x14ac:dyDescent="0.3">
      <c r="C398" s="8" t="s">
        <v>106</v>
      </c>
      <c r="D398" s="11" t="s">
        <v>127</v>
      </c>
      <c r="E398" s="128"/>
      <c r="F398" s="128"/>
      <c r="G398" s="128"/>
      <c r="H398" s="352">
        <v>-0.40179999999999999</v>
      </c>
      <c r="I398" s="352">
        <v>-0.152</v>
      </c>
      <c r="J398" s="352">
        <v>-0.43599999999999994</v>
      </c>
      <c r="K398" s="352">
        <v>-0.83700000000000008</v>
      </c>
      <c r="L398" s="352">
        <v>-0.152</v>
      </c>
      <c r="M398" s="18"/>
    </row>
    <row r="399" spans="3:14" outlineLevel="1" x14ac:dyDescent="0.3">
      <c r="C399" s="8" t="s">
        <v>122</v>
      </c>
      <c r="D399" s="11" t="s">
        <v>127</v>
      </c>
      <c r="E399" s="128"/>
      <c r="F399" s="128"/>
      <c r="G399" s="128"/>
      <c r="H399" s="352">
        <v>4.5547599999999997E-3</v>
      </c>
      <c r="I399" s="352">
        <v>0</v>
      </c>
      <c r="J399" s="352">
        <v>2.5000000000000001E-3</v>
      </c>
      <c r="K399" s="128"/>
      <c r="L399" s="128"/>
      <c r="M399" s="18"/>
    </row>
    <row r="400" spans="3:14" outlineLevel="1" x14ac:dyDescent="0.3">
      <c r="C400" s="8" t="s">
        <v>108</v>
      </c>
      <c r="D400" s="11" t="s">
        <v>127</v>
      </c>
      <c r="E400" s="128"/>
      <c r="F400" s="128"/>
      <c r="G400" s="128"/>
      <c r="H400" s="352">
        <v>-0.31941999999999998</v>
      </c>
      <c r="I400" s="352">
        <v>0</v>
      </c>
      <c r="J400" s="352">
        <v>-0.31940000000000002</v>
      </c>
      <c r="K400" s="352">
        <v>-0.380604</v>
      </c>
      <c r="L400" s="352">
        <v>-1.0329999999999999</v>
      </c>
      <c r="M400" s="18"/>
    </row>
    <row r="401" spans="2:22" outlineLevel="1" x14ac:dyDescent="0.3">
      <c r="C401" s="8" t="s">
        <v>112</v>
      </c>
      <c r="D401" s="11" t="s">
        <v>127</v>
      </c>
      <c r="E401" s="128"/>
      <c r="F401" s="128"/>
      <c r="G401" s="128"/>
      <c r="H401" s="352">
        <v>2E-3</v>
      </c>
      <c r="I401" s="352">
        <v>-6.0999999999999971E-2</v>
      </c>
      <c r="J401" s="352">
        <v>-0.37119999999999992</v>
      </c>
      <c r="K401" s="352">
        <v>-0.13163999999999965</v>
      </c>
      <c r="L401" s="352">
        <v>-9.6879999999999432E-3</v>
      </c>
      <c r="M401" s="18"/>
    </row>
    <row r="402" spans="2:22" outlineLevel="1" x14ac:dyDescent="0.3">
      <c r="C402" s="8" t="s">
        <v>114</v>
      </c>
      <c r="D402" s="11" t="s">
        <v>127</v>
      </c>
      <c r="E402" s="128"/>
      <c r="F402" s="128"/>
      <c r="G402" s="128"/>
      <c r="H402" s="352">
        <v>-0.36488400000000598</v>
      </c>
      <c r="I402" s="352">
        <v>0</v>
      </c>
      <c r="J402" s="352">
        <v>-0.33408000000004484</v>
      </c>
      <c r="K402" s="352">
        <v>-0.60719999999999996</v>
      </c>
      <c r="L402" s="352">
        <v>4.8399999999999999E-2</v>
      </c>
      <c r="M402" s="18"/>
    </row>
    <row r="403" spans="2:22" outlineLevel="1" x14ac:dyDescent="0.3">
      <c r="C403" s="8" t="s">
        <v>110</v>
      </c>
      <c r="D403" s="11" t="s">
        <v>127</v>
      </c>
      <c r="E403" s="128"/>
      <c r="F403" s="128"/>
      <c r="G403" s="128"/>
      <c r="H403" s="352">
        <v>-4.3999999999999997E-2</v>
      </c>
      <c r="I403" s="352">
        <v>0</v>
      </c>
      <c r="J403" s="352">
        <v>0</v>
      </c>
      <c r="K403" s="352">
        <v>-1.2999999999999999E-2</v>
      </c>
      <c r="L403" s="352">
        <v>-0.14000000000000001</v>
      </c>
      <c r="M403" s="18"/>
    </row>
    <row r="404" spans="2:22" outlineLevel="1" x14ac:dyDescent="0.3">
      <c r="H404" s="130"/>
      <c r="I404" s="130"/>
      <c r="J404" s="130"/>
      <c r="K404" s="130"/>
    </row>
    <row r="405" spans="2:22" ht="13.5" outlineLevel="1" x14ac:dyDescent="0.35">
      <c r="B405" s="31" t="s">
        <v>506</v>
      </c>
      <c r="C405" s="31"/>
      <c r="D405" s="28"/>
      <c r="E405" s="29"/>
      <c r="F405" s="29"/>
      <c r="G405" s="29"/>
      <c r="H405" s="29"/>
      <c r="I405" s="29"/>
      <c r="J405" s="29"/>
      <c r="K405" s="29"/>
      <c r="L405" s="29"/>
      <c r="M405" s="29"/>
      <c r="N405" s="143" t="s">
        <v>507</v>
      </c>
      <c r="O405" s="156" t="s">
        <v>175</v>
      </c>
      <c r="P405" s="156" t="s">
        <v>176</v>
      </c>
      <c r="Q405" s="156" t="s">
        <v>177</v>
      </c>
      <c r="R405" s="156" t="s">
        <v>178</v>
      </c>
      <c r="S405" s="156" t="s">
        <v>151</v>
      </c>
      <c r="T405" s="143"/>
      <c r="U405" s="143"/>
      <c r="V405" s="146"/>
    </row>
    <row r="406" spans="2:22" outlineLevel="1" x14ac:dyDescent="0.3"/>
    <row r="407" spans="2:22" outlineLevel="1" x14ac:dyDescent="0.3">
      <c r="C407" s="8" t="s">
        <v>80</v>
      </c>
      <c r="D407" s="11" t="s">
        <v>127</v>
      </c>
      <c r="E407" s="129"/>
      <c r="F407" s="129"/>
      <c r="G407" s="129"/>
      <c r="H407" s="362">
        <v>2424.9760628111835</v>
      </c>
      <c r="I407" s="362">
        <v>2473.8052357965089</v>
      </c>
      <c r="J407" s="362">
        <v>2529.8159584980231</v>
      </c>
      <c r="K407" s="362">
        <v>2552.6776131182041</v>
      </c>
      <c r="L407" s="362">
        <v>2576.9393796992476</v>
      </c>
      <c r="M407" s="18"/>
    </row>
    <row r="408" spans="2:22" outlineLevel="1" x14ac:dyDescent="0.3">
      <c r="C408" s="8" t="s">
        <v>82</v>
      </c>
      <c r="D408" s="11" t="s">
        <v>127</v>
      </c>
      <c r="E408" s="129"/>
      <c r="F408" s="129"/>
      <c r="G408" s="129"/>
      <c r="H408" s="362">
        <v>1738.2509574875523</v>
      </c>
      <c r="I408" s="362">
        <v>1764.7158837727441</v>
      </c>
      <c r="J408" s="362">
        <v>1790.4073841178586</v>
      </c>
      <c r="K408" s="362">
        <v>1814.3290512101014</v>
      </c>
      <c r="L408" s="362">
        <v>1835.7204160970605</v>
      </c>
      <c r="M408" s="18"/>
    </row>
    <row r="409" spans="2:22" outlineLevel="1" x14ac:dyDescent="0.3">
      <c r="C409" s="8" t="s">
        <v>85</v>
      </c>
      <c r="D409" s="11" t="s">
        <v>127</v>
      </c>
      <c r="E409" s="129"/>
      <c r="F409" s="129"/>
      <c r="G409" s="129"/>
      <c r="H409" s="129"/>
      <c r="I409" s="129"/>
      <c r="J409" s="129"/>
      <c r="K409" s="362">
        <v>23.65242004998246</v>
      </c>
      <c r="L409" s="362">
        <v>24.192088623547505</v>
      </c>
      <c r="M409" s="18"/>
      <c r="N409" s="6"/>
    </row>
    <row r="410" spans="2:22" outlineLevel="1" x14ac:dyDescent="0.3">
      <c r="C410" s="8" t="s">
        <v>87</v>
      </c>
      <c r="D410" s="11" t="s">
        <v>127</v>
      </c>
      <c r="E410" s="129"/>
      <c r="F410" s="129"/>
      <c r="G410" s="129"/>
      <c r="H410" s="362">
        <v>1352.012016468786</v>
      </c>
      <c r="I410" s="362">
        <v>1363.8299526550313</v>
      </c>
      <c r="J410" s="362">
        <v>1373.4699739489758</v>
      </c>
      <c r="K410" s="362">
        <v>1376.9202911259206</v>
      </c>
      <c r="L410" s="362">
        <v>1364.206681476418</v>
      </c>
      <c r="M410" s="18"/>
      <c r="N410" s="6"/>
    </row>
    <row r="411" spans="2:22" outlineLevel="1" x14ac:dyDescent="0.3">
      <c r="C411" s="8" t="s">
        <v>89</v>
      </c>
      <c r="D411" s="11" t="s">
        <v>127</v>
      </c>
      <c r="E411" s="129"/>
      <c r="F411" s="129"/>
      <c r="G411" s="129"/>
      <c r="H411" s="129"/>
      <c r="I411" s="129"/>
      <c r="J411" s="129"/>
      <c r="K411" s="362">
        <v>2924.9095712030858</v>
      </c>
      <c r="L411" s="362">
        <v>2973.8896540498972</v>
      </c>
      <c r="M411" s="18"/>
      <c r="N411" s="6"/>
    </row>
    <row r="412" spans="2:22" outlineLevel="1" x14ac:dyDescent="0.3">
      <c r="C412" s="8" t="s">
        <v>120</v>
      </c>
      <c r="D412" s="11" t="s">
        <v>127</v>
      </c>
      <c r="E412" s="129"/>
      <c r="F412" s="129"/>
      <c r="G412" s="129"/>
      <c r="H412" s="362">
        <v>2746.7246983914201</v>
      </c>
      <c r="I412" s="362">
        <v>2779.96418956554</v>
      </c>
      <c r="J412" s="362">
        <v>2845.362895256917</v>
      </c>
      <c r="K412" s="129"/>
      <c r="L412" s="129"/>
      <c r="M412" s="18"/>
      <c r="N412" s="6"/>
    </row>
    <row r="413" spans="2:22" outlineLevel="1" x14ac:dyDescent="0.3">
      <c r="C413" s="8" t="s">
        <v>91</v>
      </c>
      <c r="D413" s="11" t="s">
        <v>127</v>
      </c>
      <c r="E413" s="129"/>
      <c r="F413" s="129"/>
      <c r="G413" s="129"/>
      <c r="H413" s="362">
        <v>1101.2554337418612</v>
      </c>
      <c r="I413" s="362">
        <v>1114.23458967694</v>
      </c>
      <c r="J413" s="362">
        <v>1126.176136363636</v>
      </c>
      <c r="K413" s="362">
        <v>1129.7312346545073</v>
      </c>
      <c r="L413" s="362">
        <v>1124.1376666097058</v>
      </c>
      <c r="M413" s="18"/>
    </row>
    <row r="414" spans="2:22" outlineLevel="1" x14ac:dyDescent="0.3">
      <c r="C414" s="8" t="s">
        <v>94</v>
      </c>
      <c r="D414" s="11" t="s">
        <v>127</v>
      </c>
      <c r="E414" s="129"/>
      <c r="F414" s="129"/>
      <c r="G414" s="129"/>
      <c r="H414" s="362">
        <v>1534.0609440827268</v>
      </c>
      <c r="I414" s="362">
        <v>1557.7135861492757</v>
      </c>
      <c r="J414" s="362">
        <v>1588.9453377650016</v>
      </c>
      <c r="K414" s="362">
        <v>1612.0395694493156</v>
      </c>
      <c r="L414" s="362">
        <v>1616.5065148667118</v>
      </c>
      <c r="M414" s="18"/>
    </row>
    <row r="415" spans="2:22" outlineLevel="1" x14ac:dyDescent="0.3">
      <c r="C415" s="8" t="s">
        <v>96</v>
      </c>
      <c r="D415" s="11" t="s">
        <v>127</v>
      </c>
      <c r="E415" s="129"/>
      <c r="F415" s="129"/>
      <c r="G415" s="129"/>
      <c r="H415" s="362">
        <v>4235.449133473764</v>
      </c>
      <c r="I415" s="362">
        <v>4359.1446806535459</v>
      </c>
      <c r="J415" s="362">
        <v>4464.8078063241101</v>
      </c>
      <c r="K415" s="362">
        <v>4556.5826464398451</v>
      </c>
      <c r="L415" s="362">
        <v>4606.7848385167463</v>
      </c>
      <c r="M415" s="18"/>
    </row>
    <row r="416" spans="2:22" outlineLevel="1" x14ac:dyDescent="0.3">
      <c r="C416" s="8" t="s">
        <v>98</v>
      </c>
      <c r="D416" s="11" t="s">
        <v>127</v>
      </c>
      <c r="E416" s="129"/>
      <c r="F416" s="129"/>
      <c r="G416" s="129"/>
      <c r="H416" s="362">
        <v>3587.3830668326309</v>
      </c>
      <c r="I416" s="362">
        <v>3594.3435991459341</v>
      </c>
      <c r="J416" s="362">
        <v>3615.2710429392737</v>
      </c>
      <c r="K416" s="362">
        <v>3650.3837030866366</v>
      </c>
      <c r="L416" s="362">
        <v>3662.346120984279</v>
      </c>
      <c r="M416" s="18"/>
    </row>
    <row r="417" spans="2:22" outlineLevel="1" x14ac:dyDescent="0.3">
      <c r="C417" s="8" t="s">
        <v>100</v>
      </c>
      <c r="D417" s="11" t="s">
        <v>127</v>
      </c>
      <c r="E417" s="129"/>
      <c r="F417" s="129"/>
      <c r="G417" s="129"/>
      <c r="H417" s="362">
        <v>975.61355802374567</v>
      </c>
      <c r="I417" s="362">
        <v>993.95177311548457</v>
      </c>
      <c r="J417" s="362">
        <v>1010.6074829320876</v>
      </c>
      <c r="K417" s="362">
        <v>1033.0120790950541</v>
      </c>
      <c r="L417" s="362">
        <v>1045.5781784005467</v>
      </c>
      <c r="M417" s="18"/>
    </row>
    <row r="418" spans="2:22" outlineLevel="1" x14ac:dyDescent="0.3">
      <c r="C418" s="8" t="s">
        <v>102</v>
      </c>
      <c r="D418" s="11" t="s">
        <v>127</v>
      </c>
      <c r="E418" s="129"/>
      <c r="F418" s="129"/>
      <c r="G418" s="129"/>
      <c r="H418" s="362">
        <v>2022.2191689008041</v>
      </c>
      <c r="I418" s="362">
        <v>2071.5563265874484</v>
      </c>
      <c r="J418" s="362">
        <v>2109.4164346029465</v>
      </c>
      <c r="K418" s="362">
        <v>2138.9256182041386</v>
      </c>
      <c r="L418" s="362">
        <v>2165.9525162337659</v>
      </c>
      <c r="M418" s="18"/>
    </row>
    <row r="419" spans="2:22" outlineLevel="1" x14ac:dyDescent="0.3">
      <c r="C419" s="8" t="s">
        <v>104</v>
      </c>
      <c r="D419" s="11" t="s">
        <v>127</v>
      </c>
      <c r="E419" s="129"/>
      <c r="F419" s="129"/>
      <c r="G419" s="129"/>
      <c r="H419" s="362">
        <v>373.13176967636917</v>
      </c>
      <c r="I419" s="362">
        <v>386.80807115670245</v>
      </c>
      <c r="J419" s="362">
        <v>395.98832487423635</v>
      </c>
      <c r="K419" s="362">
        <v>396.32806317958608</v>
      </c>
      <c r="L419" s="362">
        <v>390.5880534432672</v>
      </c>
      <c r="M419" s="18"/>
    </row>
    <row r="420" spans="2:22" outlineLevel="1" x14ac:dyDescent="0.3">
      <c r="C420" s="8" t="s">
        <v>106</v>
      </c>
      <c r="D420" s="11" t="s">
        <v>127</v>
      </c>
      <c r="E420" s="129"/>
      <c r="F420" s="129"/>
      <c r="G420" s="129"/>
      <c r="H420" s="362">
        <v>153.11790884718499</v>
      </c>
      <c r="I420" s="362">
        <v>157.71871356294093</v>
      </c>
      <c r="J420" s="362">
        <v>162.99466560366506</v>
      </c>
      <c r="K420" s="362">
        <v>168.14649333567166</v>
      </c>
      <c r="L420" s="362">
        <v>173.28717767429936</v>
      </c>
      <c r="M420" s="18"/>
    </row>
    <row r="421" spans="2:22" outlineLevel="1" x14ac:dyDescent="0.3">
      <c r="C421" s="8" t="s">
        <v>122</v>
      </c>
      <c r="D421" s="11" t="s">
        <v>127</v>
      </c>
      <c r="E421" s="129"/>
      <c r="F421" s="129"/>
      <c r="G421" s="129"/>
      <c r="H421" s="362">
        <v>25.869925794714664</v>
      </c>
      <c r="I421" s="362">
        <v>28.596984079093943</v>
      </c>
      <c r="J421" s="362">
        <v>31.475559647862017</v>
      </c>
      <c r="K421" s="129"/>
      <c r="L421" s="129"/>
      <c r="M421" s="18"/>
    </row>
    <row r="422" spans="2:22" outlineLevel="1" x14ac:dyDescent="0.3">
      <c r="C422" s="8" t="s">
        <v>108</v>
      </c>
      <c r="D422" s="11" t="s">
        <v>127</v>
      </c>
      <c r="E422" s="129"/>
      <c r="F422" s="129"/>
      <c r="G422" s="129"/>
      <c r="H422" s="362">
        <v>44.962219216775175</v>
      </c>
      <c r="I422" s="362">
        <v>45.600135768659491</v>
      </c>
      <c r="J422" s="362">
        <v>46.896803359683794</v>
      </c>
      <c r="K422" s="362">
        <v>47.931502981410027</v>
      </c>
      <c r="L422" s="362">
        <v>48.432630105092258</v>
      </c>
      <c r="M422" s="18"/>
    </row>
    <row r="423" spans="2:22" outlineLevel="1" x14ac:dyDescent="0.3">
      <c r="C423" s="8" t="s">
        <v>112</v>
      </c>
      <c r="D423" s="11" t="s">
        <v>127</v>
      </c>
      <c r="E423" s="129"/>
      <c r="F423" s="129"/>
      <c r="G423" s="129"/>
      <c r="H423" s="362">
        <v>406.04466942742238</v>
      </c>
      <c r="I423" s="362">
        <v>414.74571458410696</v>
      </c>
      <c r="J423" s="362">
        <v>425.31242813510596</v>
      </c>
      <c r="K423" s="362">
        <v>435.23620001753767</v>
      </c>
      <c r="L423" s="362">
        <v>441.28009206254268</v>
      </c>
      <c r="M423" s="18"/>
    </row>
    <row r="424" spans="2:22" outlineLevel="1" x14ac:dyDescent="0.3">
      <c r="C424" s="8" t="s">
        <v>114</v>
      </c>
      <c r="D424" s="11" t="s">
        <v>127</v>
      </c>
      <c r="E424" s="129"/>
      <c r="F424" s="129"/>
      <c r="G424" s="129"/>
      <c r="H424" s="362">
        <v>116.49725584067406</v>
      </c>
      <c r="I424" s="362">
        <v>117.56367526921647</v>
      </c>
      <c r="J424" s="362">
        <v>119.28300687208049</v>
      </c>
      <c r="K424" s="362">
        <v>121.23528893370745</v>
      </c>
      <c r="L424" s="362">
        <v>123.26626602016403</v>
      </c>
      <c r="M424" s="18"/>
    </row>
    <row r="425" spans="2:22" outlineLevel="1" x14ac:dyDescent="0.3">
      <c r="C425" s="8" t="s">
        <v>110</v>
      </c>
      <c r="D425" s="11" t="s">
        <v>127</v>
      </c>
      <c r="E425" s="129"/>
      <c r="F425" s="129"/>
      <c r="G425" s="129"/>
      <c r="H425" s="362">
        <v>77.623835216392166</v>
      </c>
      <c r="I425" s="362">
        <v>78.814208132194565</v>
      </c>
      <c r="J425" s="362">
        <v>81.099189723320151</v>
      </c>
      <c r="K425" s="362">
        <v>83.07708764468606</v>
      </c>
      <c r="L425" s="362">
        <v>84.228002178742315</v>
      </c>
      <c r="M425" s="18"/>
    </row>
    <row r="427" spans="2:22" ht="13.5" outlineLevel="1" x14ac:dyDescent="0.35">
      <c r="B427" s="31" t="s">
        <v>664</v>
      </c>
      <c r="C427" s="31"/>
      <c r="D427" s="28"/>
      <c r="E427" s="29"/>
      <c r="F427" s="29"/>
      <c r="G427" s="29"/>
      <c r="H427" s="29"/>
      <c r="I427" s="29"/>
      <c r="J427" s="29"/>
      <c r="K427" s="29"/>
      <c r="L427" s="29"/>
      <c r="M427" s="29"/>
      <c r="N427" s="143" t="s">
        <v>507</v>
      </c>
      <c r="O427" s="143" t="s">
        <v>665</v>
      </c>
      <c r="P427" s="143"/>
      <c r="Q427" s="143"/>
      <c r="R427" s="143"/>
      <c r="S427" s="143"/>
      <c r="T427" s="143"/>
      <c r="U427" s="143"/>
      <c r="V427" s="146"/>
    </row>
    <row r="428" spans="2:22" outlineLevel="1" x14ac:dyDescent="0.3"/>
    <row r="429" spans="2:22" outlineLevel="1" x14ac:dyDescent="0.3">
      <c r="C429" s="8" t="s">
        <v>80</v>
      </c>
      <c r="D429" s="11" t="s">
        <v>127</v>
      </c>
      <c r="E429" s="129"/>
      <c r="F429" s="129"/>
      <c r="G429" s="129"/>
      <c r="H429" s="363">
        <v>3.6475544000000002</v>
      </c>
      <c r="I429" s="363">
        <v>3.6475544000000002</v>
      </c>
      <c r="J429" s="363">
        <v>3.6475544000000002</v>
      </c>
      <c r="K429" s="363">
        <v>3.6475544000000002</v>
      </c>
      <c r="L429" s="363">
        <v>3.6475544000000002</v>
      </c>
      <c r="M429" s="18"/>
    </row>
    <row r="430" spans="2:22" outlineLevel="1" x14ac:dyDescent="0.3">
      <c r="C430" s="8" t="s">
        <v>82</v>
      </c>
      <c r="D430" s="11" t="s">
        <v>127</v>
      </c>
      <c r="E430" s="129"/>
      <c r="F430" s="129"/>
      <c r="G430" s="129"/>
      <c r="H430" s="363">
        <v>-0.19580880000000001</v>
      </c>
      <c r="I430" s="363">
        <v>-0.19580880000000001</v>
      </c>
      <c r="J430" s="363">
        <v>-0.19580880000000001</v>
      </c>
      <c r="K430" s="363">
        <v>-0.19580880000000001</v>
      </c>
      <c r="L430" s="363">
        <v>-0.19580880000000001</v>
      </c>
      <c r="M430" s="18"/>
    </row>
    <row r="431" spans="2:22" outlineLevel="1" x14ac:dyDescent="0.3">
      <c r="C431" s="8" t="s">
        <v>85</v>
      </c>
      <c r="D431" s="11" t="s">
        <v>127</v>
      </c>
      <c r="E431" s="129"/>
      <c r="F431" s="129"/>
      <c r="G431" s="129"/>
      <c r="H431" s="363">
        <v>-5.4868479120000001E-2</v>
      </c>
      <c r="I431" s="363">
        <v>-5.4868479120000001E-2</v>
      </c>
      <c r="J431" s="363">
        <v>-5.4868479120000001E-2</v>
      </c>
      <c r="K431" s="363">
        <v>-5.4868479120000001E-2</v>
      </c>
      <c r="L431" s="363">
        <v>-5.4868479120000001E-2</v>
      </c>
      <c r="M431" s="18"/>
      <c r="N431" s="6"/>
    </row>
    <row r="432" spans="2:22" outlineLevel="1" x14ac:dyDescent="0.3">
      <c r="C432" s="8" t="s">
        <v>87</v>
      </c>
      <c r="D432" s="11" t="s">
        <v>127</v>
      </c>
      <c r="E432" s="129"/>
      <c r="F432" s="129"/>
      <c r="G432" s="129"/>
      <c r="H432" s="363">
        <v>1.116725</v>
      </c>
      <c r="I432" s="363">
        <v>1.116725</v>
      </c>
      <c r="J432" s="363">
        <v>1.116725</v>
      </c>
      <c r="K432" s="363">
        <v>1.116725</v>
      </c>
      <c r="L432" s="363">
        <v>1.116725</v>
      </c>
      <c r="M432" s="18"/>
      <c r="N432" s="6"/>
    </row>
    <row r="433" spans="2:22" outlineLevel="1" x14ac:dyDescent="0.3">
      <c r="C433" s="8" t="s">
        <v>89</v>
      </c>
      <c r="D433" s="11" t="s">
        <v>127</v>
      </c>
      <c r="E433" s="129"/>
      <c r="F433" s="129"/>
      <c r="G433" s="129"/>
      <c r="H433" s="363">
        <v>-3.0650007208800001</v>
      </c>
      <c r="I433" s="363">
        <v>-3.0650007208800001</v>
      </c>
      <c r="J433" s="363">
        <v>-3.0650007208800001</v>
      </c>
      <c r="K433" s="363">
        <v>-3.0650007208800001</v>
      </c>
      <c r="L433" s="363">
        <v>-3.0650007208800001</v>
      </c>
      <c r="M433" s="18"/>
      <c r="N433" s="6"/>
    </row>
    <row r="434" spans="2:22" outlineLevel="1" x14ac:dyDescent="0.3">
      <c r="C434" s="8" t="s">
        <v>91</v>
      </c>
      <c r="D434" s="11" t="s">
        <v>127</v>
      </c>
      <c r="E434" s="129"/>
      <c r="F434" s="129"/>
      <c r="G434" s="129"/>
      <c r="H434" s="363">
        <v>-0.58092140000000003</v>
      </c>
      <c r="I434" s="363">
        <v>-0.58092140000000003</v>
      </c>
      <c r="J434" s="363">
        <v>-0.58092140000000003</v>
      </c>
      <c r="K434" s="363">
        <v>-0.58092140000000003</v>
      </c>
      <c r="L434" s="363">
        <v>-0.58092140000000003</v>
      </c>
      <c r="M434" s="18"/>
    </row>
    <row r="435" spans="2:22" outlineLevel="1" x14ac:dyDescent="0.3">
      <c r="C435" s="8" t="s">
        <v>94</v>
      </c>
      <c r="D435" s="11" t="s">
        <v>127</v>
      </c>
      <c r="E435" s="129"/>
      <c r="F435" s="129"/>
      <c r="G435" s="129"/>
      <c r="H435" s="363">
        <v>-6.4702235000000003</v>
      </c>
      <c r="I435" s="363">
        <v>-6.4702235000000003</v>
      </c>
      <c r="J435" s="363">
        <v>-6.4702235000000003</v>
      </c>
      <c r="K435" s="363">
        <v>-6.4702235000000003</v>
      </c>
      <c r="L435" s="363">
        <v>-6.4702235000000003</v>
      </c>
      <c r="M435" s="18"/>
    </row>
    <row r="436" spans="2:22" outlineLevel="1" x14ac:dyDescent="0.3">
      <c r="C436" s="8" t="s">
        <v>96</v>
      </c>
      <c r="D436" s="11" t="s">
        <v>127</v>
      </c>
      <c r="E436" s="129"/>
      <c r="F436" s="129"/>
      <c r="G436" s="129"/>
      <c r="H436" s="363">
        <v>-20.19492</v>
      </c>
      <c r="I436" s="363">
        <v>-20.19492</v>
      </c>
      <c r="J436" s="363">
        <v>-20.19492</v>
      </c>
      <c r="K436" s="363">
        <v>-20.19492</v>
      </c>
      <c r="L436" s="363">
        <v>-20.19492</v>
      </c>
      <c r="M436" s="18"/>
    </row>
    <row r="437" spans="2:22" outlineLevel="1" x14ac:dyDescent="0.3">
      <c r="C437" s="8" t="s">
        <v>98</v>
      </c>
      <c r="D437" s="11" t="s">
        <v>127</v>
      </c>
      <c r="E437" s="129"/>
      <c r="F437" s="129"/>
      <c r="G437" s="129"/>
      <c r="H437" s="363">
        <v>1.2253229999999999</v>
      </c>
      <c r="I437" s="363">
        <v>1.2253229999999999</v>
      </c>
      <c r="J437" s="363">
        <v>1.2253229999999999</v>
      </c>
      <c r="K437" s="363">
        <v>1.2253229999999999</v>
      </c>
      <c r="L437" s="363">
        <v>1.2253229999999999</v>
      </c>
      <c r="M437" s="18"/>
    </row>
    <row r="438" spans="2:22" outlineLevel="1" x14ac:dyDescent="0.3">
      <c r="C438" s="8" t="s">
        <v>100</v>
      </c>
      <c r="D438" s="11" t="s">
        <v>127</v>
      </c>
      <c r="E438" s="129"/>
      <c r="F438" s="129"/>
      <c r="G438" s="129"/>
      <c r="H438" s="363">
        <v>1.4220379226324</v>
      </c>
      <c r="I438" s="363">
        <v>1.4220379226324</v>
      </c>
      <c r="J438" s="363">
        <v>1.4220379226324</v>
      </c>
      <c r="K438" s="363">
        <v>1.4220379226324</v>
      </c>
      <c r="L438" s="363">
        <v>1.4220379226324</v>
      </c>
      <c r="M438" s="18"/>
    </row>
    <row r="439" spans="2:22" outlineLevel="1" x14ac:dyDescent="0.3">
      <c r="C439" s="8" t="s">
        <v>102</v>
      </c>
      <c r="D439" s="11" t="s">
        <v>127</v>
      </c>
      <c r="E439" s="129"/>
      <c r="F439" s="129"/>
      <c r="G439" s="129"/>
      <c r="H439" s="363">
        <v>-1.1051431437619901</v>
      </c>
      <c r="I439" s="363">
        <v>-1.1051431437619901</v>
      </c>
      <c r="J439" s="363">
        <v>-1.1051431437619901</v>
      </c>
      <c r="K439" s="363">
        <v>-1.1051431437619901</v>
      </c>
      <c r="L439" s="363">
        <v>-1.1051431437619901</v>
      </c>
      <c r="M439" s="18"/>
    </row>
    <row r="440" spans="2:22" outlineLevel="1" x14ac:dyDescent="0.3">
      <c r="C440" s="8" t="s">
        <v>104</v>
      </c>
      <c r="D440" s="11" t="s">
        <v>127</v>
      </c>
      <c r="E440" s="129"/>
      <c r="F440" s="129"/>
      <c r="G440" s="129"/>
      <c r="H440" s="363">
        <v>-2.2383752000000001</v>
      </c>
      <c r="I440" s="363">
        <v>-2.2383752000000001</v>
      </c>
      <c r="J440" s="363">
        <v>-2.2383752000000001</v>
      </c>
      <c r="K440" s="363">
        <v>-2.2383752000000001</v>
      </c>
      <c r="L440" s="363">
        <v>-2.2383752000000001</v>
      </c>
      <c r="M440" s="18"/>
    </row>
    <row r="441" spans="2:22" outlineLevel="1" x14ac:dyDescent="0.3">
      <c r="C441" s="8" t="s">
        <v>106</v>
      </c>
      <c r="D441" s="11" t="s">
        <v>127</v>
      </c>
      <c r="E441" s="129"/>
      <c r="F441" s="129"/>
      <c r="G441" s="129"/>
      <c r="H441" s="363">
        <v>1.6780799999999998E-2</v>
      </c>
      <c r="I441" s="363">
        <v>1.6780799999999998E-2</v>
      </c>
      <c r="J441" s="363">
        <v>1.6780799999999998E-2</v>
      </c>
      <c r="K441" s="363">
        <v>1.6780799999999998E-2</v>
      </c>
      <c r="L441" s="363">
        <v>1.6780799999999998E-2</v>
      </c>
      <c r="M441" s="18"/>
    </row>
    <row r="442" spans="2:22" outlineLevel="1" x14ac:dyDescent="0.3">
      <c r="C442" s="8" t="s">
        <v>108</v>
      </c>
      <c r="D442" s="11" t="s">
        <v>127</v>
      </c>
      <c r="E442" s="129"/>
      <c r="F442" s="129"/>
      <c r="G442" s="129"/>
      <c r="H442" s="363">
        <v>0.28211999999999998</v>
      </c>
      <c r="I442" s="363">
        <v>0.28211999999999998</v>
      </c>
      <c r="J442" s="363">
        <v>0.28211999999999998</v>
      </c>
      <c r="K442" s="363">
        <v>0.28211999999999998</v>
      </c>
      <c r="L442" s="363">
        <v>0.28211999999999998</v>
      </c>
      <c r="M442" s="18"/>
    </row>
    <row r="443" spans="2:22" outlineLevel="1" x14ac:dyDescent="0.3">
      <c r="C443" s="8" t="s">
        <v>112</v>
      </c>
      <c r="D443" s="11" t="s">
        <v>127</v>
      </c>
      <c r="E443" s="129"/>
      <c r="F443" s="129"/>
      <c r="G443" s="129"/>
      <c r="H443" s="363">
        <v>-9.9967500000000001E-2</v>
      </c>
      <c r="I443" s="363">
        <v>-9.9967500000000001E-2</v>
      </c>
      <c r="J443" s="363">
        <v>-9.9967500000000001E-2</v>
      </c>
      <c r="K443" s="363">
        <v>-9.9967500000000001E-2</v>
      </c>
      <c r="L443" s="363">
        <v>-9.9967500000000001E-2</v>
      </c>
      <c r="M443" s="18"/>
    </row>
    <row r="444" spans="2:22" outlineLevel="1" x14ac:dyDescent="0.3">
      <c r="C444" s="8" t="s">
        <v>114</v>
      </c>
      <c r="D444" s="11" t="s">
        <v>127</v>
      </c>
      <c r="E444" s="129"/>
      <c r="F444" s="129"/>
      <c r="G444" s="129"/>
      <c r="H444" s="363">
        <v>0.31500351220128098</v>
      </c>
      <c r="I444" s="363">
        <v>0.31500351220128098</v>
      </c>
      <c r="J444" s="363">
        <v>0.31500351220128098</v>
      </c>
      <c r="K444" s="363">
        <v>0.31500351220128098</v>
      </c>
      <c r="L444" s="363">
        <v>0.31500351220128098</v>
      </c>
      <c r="M444" s="18"/>
    </row>
    <row r="445" spans="2:22" outlineLevel="1" x14ac:dyDescent="0.3">
      <c r="C445" s="8" t="s">
        <v>110</v>
      </c>
      <c r="D445" s="11" t="s">
        <v>127</v>
      </c>
      <c r="E445" s="129"/>
      <c r="F445" s="129"/>
      <c r="G445" s="129"/>
      <c r="H445" s="363">
        <v>-0.44376700000000002</v>
      </c>
      <c r="I445" s="363">
        <v>-0.44376700000000002</v>
      </c>
      <c r="J445" s="363">
        <v>-0.44376700000000002</v>
      </c>
      <c r="K445" s="363">
        <v>-0.44376700000000002</v>
      </c>
      <c r="L445" s="363">
        <v>-0.44376700000000002</v>
      </c>
      <c r="M445" s="18"/>
    </row>
    <row r="447" spans="2:22" x14ac:dyDescent="0.3">
      <c r="B447" s="160" t="s">
        <v>25</v>
      </c>
      <c r="C447" s="160"/>
      <c r="D447" s="161"/>
      <c r="E447" s="160"/>
      <c r="F447" s="160"/>
      <c r="G447" s="160"/>
      <c r="H447" s="160"/>
      <c r="I447" s="160"/>
      <c r="J447" s="160"/>
      <c r="K447" s="160"/>
      <c r="L447" s="160"/>
      <c r="M447" s="160"/>
      <c r="N447" s="162"/>
      <c r="O447" s="162"/>
      <c r="P447" s="162"/>
      <c r="Q447" s="162"/>
      <c r="R447" s="162"/>
      <c r="S447" s="162"/>
      <c r="T447" s="162"/>
      <c r="U447" s="162"/>
      <c r="V447" s="41"/>
    </row>
  </sheetData>
  <hyperlinks>
    <hyperlink ref="O405" r:id="rId1" display="Link"/>
    <hyperlink ref="P405" r:id="rId2" display="Link"/>
    <hyperlink ref="Q405" r:id="rId3" display="Link"/>
    <hyperlink ref="R405" r:id="rId4" display="Link"/>
    <hyperlink ref="N225" r:id="rId5"/>
    <hyperlink ref="S145" r:id="rId6"/>
    <hyperlink ref="T145" r:id="rId7"/>
    <hyperlink ref="R167" r:id="rId8"/>
    <hyperlink ref="S167" r:id="rId9"/>
    <hyperlink ref="Q99" r:id="rId10"/>
    <hyperlink ref="R99" r:id="rId11"/>
    <hyperlink ref="S99" r:id="rId12"/>
    <hyperlink ref="N109" r:id="rId13"/>
    <hyperlink ref="N147" r:id="rId14"/>
    <hyperlink ref="N148" r:id="rId15"/>
    <hyperlink ref="O149" r:id="rId16" display="2016-19"/>
    <hyperlink ref="N149" r:id="rId17"/>
    <hyperlink ref="N151" r:id="rId18"/>
    <hyperlink ref="N150" r:id="rId19" display="2016-19"/>
    <hyperlink ref="O150" r:id="rId20"/>
    <hyperlink ref="N152" r:id="rId21"/>
    <hyperlink ref="O152" r:id="rId22"/>
    <hyperlink ref="N153" r:id="rId23"/>
    <hyperlink ref="N154" r:id="rId24"/>
    <hyperlink ref="N155" r:id="rId25"/>
    <hyperlink ref="N156" r:id="rId26"/>
    <hyperlink ref="N157" r:id="rId27"/>
    <hyperlink ref="N158" r:id="rId28"/>
    <hyperlink ref="N159" r:id="rId29"/>
    <hyperlink ref="N160" r:id="rId30"/>
    <hyperlink ref="N161" r:id="rId31"/>
    <hyperlink ref="N162" r:id="rId32"/>
    <hyperlink ref="O162" r:id="rId33" display="2016-19 (SST)"/>
    <hyperlink ref="N163" r:id="rId34"/>
    <hyperlink ref="U228" r:id="rId35"/>
    <hyperlink ref="V228" r:id="rId36" display="Welsh"/>
    <hyperlink ref="U244" r:id="rId37"/>
    <hyperlink ref="V244" r:id="rId38" display="Welsh"/>
    <hyperlink ref="U245" r:id="rId39"/>
    <hyperlink ref="V245" r:id="rId40" display="Welsh"/>
    <hyperlink ref="O147" r:id="rId41"/>
    <hyperlink ref="O148" r:id="rId42"/>
    <hyperlink ref="P149" r:id="rId43"/>
    <hyperlink ref="O153" r:id="rId44"/>
    <hyperlink ref="O154" r:id="rId45"/>
    <hyperlink ref="O155" r:id="rId46"/>
    <hyperlink ref="O156" r:id="rId47"/>
    <hyperlink ref="O157" r:id="rId48"/>
    <hyperlink ref="O158" r:id="rId49"/>
    <hyperlink ref="O159" r:id="rId50"/>
    <hyperlink ref="O160" r:id="rId51"/>
    <hyperlink ref="O161" r:id="rId52"/>
    <hyperlink ref="O163" r:id="rId53"/>
    <hyperlink ref="P150" r:id="rId54"/>
    <hyperlink ref="Q150" r:id="rId55"/>
    <hyperlink ref="O151" r:id="rId56"/>
    <hyperlink ref="P152" r:id="rId57"/>
    <hyperlink ref="Q152" r:id="rId58"/>
    <hyperlink ref="P162" r:id="rId59"/>
    <hyperlink ref="Q162" r:id="rId60"/>
    <hyperlink ref="N225:R225" r:id="rId61" display="Environment Agency -  Environmental Performance Assessment"/>
    <hyperlink ref="N169" r:id="rId62"/>
    <hyperlink ref="N170" r:id="rId63"/>
    <hyperlink ref="O171" r:id="rId64" display="2016-19"/>
    <hyperlink ref="N171" r:id="rId65"/>
    <hyperlink ref="N173" r:id="rId66"/>
    <hyperlink ref="N172" r:id="rId67" display="2016-19"/>
    <hyperlink ref="O172" r:id="rId68"/>
    <hyperlink ref="N174" r:id="rId69"/>
    <hyperlink ref="O174" r:id="rId70"/>
    <hyperlink ref="N175" r:id="rId71"/>
    <hyperlink ref="N176" r:id="rId72"/>
    <hyperlink ref="N177" r:id="rId73"/>
    <hyperlink ref="N178" r:id="rId74"/>
    <hyperlink ref="N179" r:id="rId75"/>
    <hyperlink ref="N180" r:id="rId76"/>
    <hyperlink ref="N181" r:id="rId77"/>
    <hyperlink ref="N182" r:id="rId78"/>
    <hyperlink ref="N183" r:id="rId79"/>
    <hyperlink ref="N184" r:id="rId80"/>
    <hyperlink ref="O184" r:id="rId81" display="2016-19 (SST)"/>
    <hyperlink ref="N185" r:id="rId82"/>
    <hyperlink ref="O169" r:id="rId83"/>
    <hyperlink ref="O170" r:id="rId84"/>
    <hyperlink ref="P171" r:id="rId85"/>
    <hyperlink ref="O175" r:id="rId86"/>
    <hyperlink ref="O176" r:id="rId87"/>
    <hyperlink ref="O177" r:id="rId88"/>
    <hyperlink ref="O178" r:id="rId89"/>
    <hyperlink ref="O179" r:id="rId90"/>
    <hyperlink ref="O180" r:id="rId91"/>
    <hyperlink ref="O181" r:id="rId92"/>
    <hyperlink ref="O182" r:id="rId93"/>
    <hyperlink ref="O183" r:id="rId94"/>
    <hyperlink ref="O185" r:id="rId95"/>
    <hyperlink ref="P172" r:id="rId96"/>
    <hyperlink ref="Q172" r:id="rId97"/>
    <hyperlink ref="O173" r:id="rId98"/>
    <hyperlink ref="P174" r:id="rId99"/>
    <hyperlink ref="Q174" r:id="rId100"/>
    <hyperlink ref="P184" r:id="rId101"/>
    <hyperlink ref="Q184" r:id="rId102"/>
    <hyperlink ref="S405" r:id="rId103"/>
  </hyperlinks>
  <pageMargins left="0.7" right="0.7" top="0.75" bottom="0.75" header="0.3" footer="0.3"/>
  <pageSetup paperSize="9" orientation="portrait" r:id="rId1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outlinePr summaryBelow="0"/>
  </sheetPr>
  <dimension ref="B2:P435"/>
  <sheetViews>
    <sheetView showGridLines="0" workbookViewId="0">
      <pane ySplit="3" topLeftCell="A4" activePane="bottomLeft" state="frozen"/>
      <selection pane="bottomLeft"/>
    </sheetView>
  </sheetViews>
  <sheetFormatPr defaultColWidth="9" defaultRowHeight="13" outlineLevelRow="2" x14ac:dyDescent="0.3"/>
  <cols>
    <col min="1" max="2" width="2.58203125" style="8" customWidth="1"/>
    <col min="3" max="3" width="8.33203125" style="8" bestFit="1" customWidth="1"/>
    <col min="4" max="4" width="64.5" style="11" bestFit="1" customWidth="1"/>
    <col min="5" max="5" width="38" style="11" bestFit="1" customWidth="1"/>
    <col min="6" max="6" width="2.58203125" style="8" customWidth="1"/>
    <col min="7" max="9" width="7.58203125" style="8" customWidth="1"/>
    <col min="10" max="10" width="2.58203125" style="8" customWidth="1"/>
    <col min="11" max="12" width="7.58203125" style="8" customWidth="1"/>
    <col min="13" max="13" width="2.58203125" style="8" customWidth="1"/>
    <col min="14" max="16384" width="9" style="8"/>
  </cols>
  <sheetData>
    <row r="2" spans="2:15" x14ac:dyDescent="0.3">
      <c r="C2" s="12"/>
      <c r="G2" s="405" t="s">
        <v>508</v>
      </c>
      <c r="H2" s="405"/>
      <c r="I2" s="405"/>
      <c r="K2" s="405" t="s">
        <v>509</v>
      </c>
      <c r="L2" s="405"/>
    </row>
    <row r="3" spans="2:15" x14ac:dyDescent="0.3">
      <c r="C3" s="12" t="s">
        <v>223</v>
      </c>
      <c r="D3" s="13" t="s">
        <v>275</v>
      </c>
      <c r="E3" s="13" t="s">
        <v>125</v>
      </c>
      <c r="G3" s="84" t="s">
        <v>177</v>
      </c>
      <c r="H3" s="65" t="s">
        <v>178</v>
      </c>
      <c r="I3" s="84" t="s">
        <v>151</v>
      </c>
      <c r="K3" s="84" t="s">
        <v>178</v>
      </c>
      <c r="L3" s="84" t="s">
        <v>151</v>
      </c>
    </row>
    <row r="5" spans="2:15" ht="13.5" x14ac:dyDescent="0.35">
      <c r="B5" s="9" t="s">
        <v>162</v>
      </c>
      <c r="C5" s="9"/>
      <c r="D5" s="10"/>
      <c r="E5" s="10"/>
      <c r="F5" s="9"/>
      <c r="G5" s="9"/>
      <c r="H5" s="9"/>
      <c r="I5" s="9"/>
      <c r="J5" s="9"/>
      <c r="K5" s="9"/>
      <c r="L5" s="9"/>
      <c r="M5" s="9"/>
    </row>
    <row r="6" spans="2:15" outlineLevel="1" x14ac:dyDescent="0.3"/>
    <row r="7" spans="2:15" ht="13.5" outlineLevel="1" x14ac:dyDescent="0.35">
      <c r="B7" s="31" t="s">
        <v>510</v>
      </c>
      <c r="C7" s="31"/>
      <c r="D7" s="31"/>
      <c r="E7" s="31"/>
      <c r="F7" s="31"/>
      <c r="G7" s="31"/>
      <c r="H7" s="31"/>
      <c r="I7" s="31"/>
      <c r="J7" s="31"/>
      <c r="K7" s="404" t="s">
        <v>511</v>
      </c>
      <c r="L7" s="404"/>
      <c r="M7" s="31"/>
    </row>
    <row r="8" spans="2:15" outlineLevel="2" x14ac:dyDescent="0.3"/>
    <row r="9" spans="2:15" ht="12.5" outlineLevel="2" x14ac:dyDescent="0.25">
      <c r="C9" s="8" t="s">
        <v>104</v>
      </c>
      <c r="D9" s="281" t="s">
        <v>276</v>
      </c>
      <c r="E9" s="75" t="s">
        <v>135</v>
      </c>
      <c r="G9" s="63">
        <v>173.1</v>
      </c>
      <c r="H9" s="63">
        <v>167.7</v>
      </c>
      <c r="I9" s="63">
        <v>162.19999999999999</v>
      </c>
      <c r="K9" s="229">
        <f t="shared" ref="K9:K26" si="0">H9</f>
        <v>167.7</v>
      </c>
      <c r="L9" s="229">
        <f t="shared" ref="L9:L26" si="1">I9</f>
        <v>162.19999999999999</v>
      </c>
    </row>
    <row r="10" spans="2:15" ht="12.5" outlineLevel="2" x14ac:dyDescent="0.25">
      <c r="C10" s="8" t="s">
        <v>80</v>
      </c>
      <c r="D10" s="75" t="s">
        <v>281</v>
      </c>
      <c r="E10" s="75" t="s">
        <v>135</v>
      </c>
      <c r="G10" s="63">
        <v>192</v>
      </c>
      <c r="H10" s="63">
        <v>192</v>
      </c>
      <c r="I10" s="63">
        <v>192</v>
      </c>
      <c r="K10" s="229">
        <f t="shared" si="0"/>
        <v>192</v>
      </c>
      <c r="L10" s="229">
        <f t="shared" si="1"/>
        <v>192</v>
      </c>
    </row>
    <row r="11" spans="2:15" ht="12.5" outlineLevel="2" x14ac:dyDescent="0.25">
      <c r="C11" s="8" t="s">
        <v>106</v>
      </c>
      <c r="D11" s="75" t="s">
        <v>285</v>
      </c>
      <c r="E11" s="75" t="s">
        <v>135</v>
      </c>
      <c r="G11" s="63">
        <v>45</v>
      </c>
      <c r="H11" s="63">
        <v>44</v>
      </c>
      <c r="I11" s="63">
        <v>43</v>
      </c>
      <c r="K11" s="229">
        <f t="shared" si="0"/>
        <v>44</v>
      </c>
      <c r="L11" s="229">
        <f t="shared" si="1"/>
        <v>43</v>
      </c>
    </row>
    <row r="12" spans="2:15" ht="12.5" outlineLevel="2" x14ac:dyDescent="0.25">
      <c r="C12" s="8" t="s">
        <v>87</v>
      </c>
      <c r="D12" s="75" t="s">
        <v>512</v>
      </c>
      <c r="E12" s="75" t="s">
        <v>135</v>
      </c>
      <c r="G12" s="63">
        <v>137</v>
      </c>
      <c r="H12" s="63">
        <v>137</v>
      </c>
      <c r="I12" s="63">
        <v>137</v>
      </c>
      <c r="K12" s="229">
        <f t="shared" si="0"/>
        <v>137</v>
      </c>
      <c r="L12" s="229">
        <f t="shared" si="1"/>
        <v>137</v>
      </c>
      <c r="N12" s="62"/>
      <c r="O12" s="62"/>
    </row>
    <row r="13" spans="2:15" ht="12.5" outlineLevel="2" x14ac:dyDescent="0.25">
      <c r="C13" s="8" t="s">
        <v>87</v>
      </c>
      <c r="D13" s="75"/>
      <c r="E13" s="75"/>
      <c r="G13" s="63">
        <v>66</v>
      </c>
      <c r="H13" s="63">
        <v>66</v>
      </c>
      <c r="I13" s="63">
        <v>66</v>
      </c>
      <c r="K13" s="229">
        <f t="shared" ref="K13:K20" si="2">H13</f>
        <v>66</v>
      </c>
      <c r="L13" s="229">
        <f t="shared" ref="L13:L20" si="3">I13</f>
        <v>66</v>
      </c>
      <c r="N13" s="62"/>
      <c r="O13" s="62"/>
    </row>
    <row r="14" spans="2:15" ht="12.5" outlineLevel="2" x14ac:dyDescent="0.25">
      <c r="C14" s="8" t="s">
        <v>108</v>
      </c>
      <c r="D14" s="75" t="s">
        <v>298</v>
      </c>
      <c r="E14" s="75" t="s">
        <v>135</v>
      </c>
      <c r="G14" s="63">
        <v>29.9</v>
      </c>
      <c r="H14" s="63">
        <v>29.85</v>
      </c>
      <c r="I14" s="63">
        <v>29.8</v>
      </c>
      <c r="K14" s="229">
        <f t="shared" si="2"/>
        <v>29.85</v>
      </c>
      <c r="L14" s="229">
        <f t="shared" si="3"/>
        <v>29.8</v>
      </c>
    </row>
    <row r="15" spans="2:15" ht="12.5" outlineLevel="2" x14ac:dyDescent="0.25">
      <c r="C15" s="8" t="s">
        <v>116</v>
      </c>
      <c r="D15" s="75" t="s">
        <v>303</v>
      </c>
      <c r="E15" s="75" t="s">
        <v>135</v>
      </c>
      <c r="G15" s="89" t="s">
        <v>494</v>
      </c>
      <c r="H15" s="90" t="s">
        <v>494</v>
      </c>
      <c r="I15" s="63">
        <v>20</v>
      </c>
      <c r="K15" s="229" t="str">
        <f t="shared" si="2"/>
        <v>-</v>
      </c>
      <c r="L15" s="229">
        <f t="shared" si="3"/>
        <v>20</v>
      </c>
    </row>
    <row r="16" spans="2:15" ht="12.5" outlineLevel="2" x14ac:dyDescent="0.25">
      <c r="C16" s="8" t="s">
        <v>110</v>
      </c>
      <c r="D16" s="75" t="s">
        <v>307</v>
      </c>
      <c r="E16" s="75" t="s">
        <v>135</v>
      </c>
      <c r="G16" s="64">
        <v>24.2</v>
      </c>
      <c r="H16" s="64">
        <v>24.1</v>
      </c>
      <c r="I16" s="63">
        <v>24</v>
      </c>
      <c r="K16" s="229">
        <f t="shared" si="2"/>
        <v>24.1</v>
      </c>
      <c r="L16" s="229">
        <f t="shared" si="3"/>
        <v>24</v>
      </c>
    </row>
    <row r="17" spans="2:16" ht="12.5" outlineLevel="2" x14ac:dyDescent="0.25">
      <c r="C17" s="8" t="s">
        <v>112</v>
      </c>
      <c r="D17" s="75" t="s">
        <v>310</v>
      </c>
      <c r="E17" s="75" t="s">
        <v>135</v>
      </c>
      <c r="G17" s="63">
        <v>90</v>
      </c>
      <c r="H17" s="63">
        <v>89.1</v>
      </c>
      <c r="I17" s="63">
        <v>88.1</v>
      </c>
      <c r="K17" s="229">
        <f t="shared" si="2"/>
        <v>89.1</v>
      </c>
      <c r="L17" s="229">
        <f t="shared" si="3"/>
        <v>88.1</v>
      </c>
    </row>
    <row r="18" spans="2:16" ht="12.5" outlineLevel="2" x14ac:dyDescent="0.25">
      <c r="C18" s="8" t="s">
        <v>94</v>
      </c>
      <c r="D18" s="75" t="s">
        <v>313</v>
      </c>
      <c r="E18" s="75" t="s">
        <v>135</v>
      </c>
      <c r="G18" s="89" t="s">
        <v>494</v>
      </c>
      <c r="H18" s="90" t="s">
        <v>494</v>
      </c>
      <c r="I18" s="63">
        <v>87</v>
      </c>
      <c r="K18" s="229" t="str">
        <f t="shared" si="2"/>
        <v>-</v>
      </c>
      <c r="L18" s="229">
        <f t="shared" si="3"/>
        <v>87</v>
      </c>
    </row>
    <row r="19" spans="2:16" ht="12.5" outlineLevel="2" x14ac:dyDescent="0.25">
      <c r="C19" s="8" t="s">
        <v>114</v>
      </c>
      <c r="D19" s="75" t="s">
        <v>513</v>
      </c>
      <c r="E19" s="75" t="s">
        <v>135</v>
      </c>
      <c r="G19" s="64">
        <v>84</v>
      </c>
      <c r="H19" s="64">
        <v>84</v>
      </c>
      <c r="I19" s="63">
        <v>70.5</v>
      </c>
      <c r="K19" s="229">
        <f t="shared" si="2"/>
        <v>84</v>
      </c>
      <c r="L19" s="229">
        <f t="shared" si="3"/>
        <v>70.5</v>
      </c>
      <c r="N19" s="62"/>
      <c r="O19" s="62"/>
    </row>
    <row r="20" spans="2:16" ht="12.5" outlineLevel="2" x14ac:dyDescent="0.25">
      <c r="C20" s="8" t="s">
        <v>114</v>
      </c>
      <c r="D20" s="75"/>
      <c r="E20" s="75"/>
      <c r="G20" s="89" t="s">
        <v>494</v>
      </c>
      <c r="H20" s="90" t="s">
        <v>494</v>
      </c>
      <c r="I20" s="63">
        <v>13.5</v>
      </c>
      <c r="K20" s="229" t="str">
        <f t="shared" si="2"/>
        <v>-</v>
      </c>
      <c r="L20" s="229">
        <f t="shared" si="3"/>
        <v>13.5</v>
      </c>
      <c r="N20" s="62"/>
      <c r="O20" s="62"/>
    </row>
    <row r="21" spans="2:16" ht="12.5" outlineLevel="2" x14ac:dyDescent="0.25">
      <c r="C21" s="8" t="s">
        <v>118</v>
      </c>
      <c r="D21" s="75" t="s">
        <v>335</v>
      </c>
      <c r="E21" s="75" t="s">
        <v>135</v>
      </c>
      <c r="G21" s="63">
        <v>84</v>
      </c>
      <c r="H21" s="64">
        <v>84</v>
      </c>
      <c r="I21" s="63">
        <v>84</v>
      </c>
      <c r="K21" s="229">
        <f t="shared" si="0"/>
        <v>84</v>
      </c>
      <c r="L21" s="229">
        <f t="shared" si="1"/>
        <v>84</v>
      </c>
      <c r="N21" s="48"/>
      <c r="O21" s="48"/>
      <c r="P21" s="48"/>
    </row>
    <row r="22" spans="2:16" ht="12.5" outlineLevel="2" x14ac:dyDescent="0.25">
      <c r="C22" s="8" t="s">
        <v>96</v>
      </c>
      <c r="D22" s="75" t="s">
        <v>345</v>
      </c>
      <c r="E22" s="75" t="s">
        <v>514</v>
      </c>
      <c r="G22" s="63">
        <v>620</v>
      </c>
      <c r="H22" s="63">
        <v>612</v>
      </c>
      <c r="I22" s="63">
        <v>606</v>
      </c>
      <c r="K22" s="229">
        <f t="shared" si="0"/>
        <v>612</v>
      </c>
      <c r="L22" s="229">
        <f t="shared" si="1"/>
        <v>606</v>
      </c>
    </row>
    <row r="23" spans="2:16" ht="12.5" outlineLevel="2" x14ac:dyDescent="0.25">
      <c r="C23" s="8" t="s">
        <v>98</v>
      </c>
      <c r="D23" s="75" t="s">
        <v>352</v>
      </c>
      <c r="E23" s="75" t="s">
        <v>515</v>
      </c>
      <c r="G23" s="63">
        <v>462.65</v>
      </c>
      <c r="H23" s="63">
        <v>462.65</v>
      </c>
      <c r="I23" s="63">
        <v>462.65</v>
      </c>
      <c r="K23" s="229">
        <f t="shared" si="0"/>
        <v>462.65</v>
      </c>
      <c r="L23" s="229">
        <f t="shared" si="1"/>
        <v>462.65</v>
      </c>
      <c r="N23" s="62"/>
      <c r="O23" s="62"/>
      <c r="P23" s="62"/>
    </row>
    <row r="24" spans="2:16" ht="12.5" outlineLevel="2" x14ac:dyDescent="0.25">
      <c r="C24" s="8" t="s">
        <v>82</v>
      </c>
      <c r="D24" s="75" t="s">
        <v>361</v>
      </c>
      <c r="E24" s="75" t="s">
        <v>135</v>
      </c>
      <c r="G24" s="63">
        <v>173</v>
      </c>
      <c r="H24" s="63">
        <v>171</v>
      </c>
      <c r="I24" s="63">
        <v>169</v>
      </c>
      <c r="K24" s="229">
        <f t="shared" si="0"/>
        <v>171</v>
      </c>
      <c r="L24" s="229">
        <f t="shared" si="1"/>
        <v>169</v>
      </c>
    </row>
    <row r="25" spans="2:16" ht="12.5" outlineLevel="2" x14ac:dyDescent="0.25">
      <c r="C25" s="8" t="s">
        <v>100</v>
      </c>
      <c r="D25" s="75" t="s">
        <v>365</v>
      </c>
      <c r="E25" s="75" t="s">
        <v>135</v>
      </c>
      <c r="G25" s="63">
        <v>67.900000000000006</v>
      </c>
      <c r="H25" s="63">
        <v>67.2</v>
      </c>
      <c r="I25" s="63">
        <v>66.5</v>
      </c>
      <c r="K25" s="229">
        <f t="shared" si="0"/>
        <v>67.2</v>
      </c>
      <c r="L25" s="229">
        <f t="shared" si="1"/>
        <v>66.5</v>
      </c>
    </row>
    <row r="26" spans="2:16" ht="12.5" outlineLevel="2" x14ac:dyDescent="0.25">
      <c r="C26" s="8" t="s">
        <v>102</v>
      </c>
      <c r="D26" s="75" t="s">
        <v>373</v>
      </c>
      <c r="E26" s="75" t="s">
        <v>135</v>
      </c>
      <c r="G26" s="63">
        <v>297.10000000000002</v>
      </c>
      <c r="H26" s="63">
        <v>292.10000000000002</v>
      </c>
      <c r="I26" s="63">
        <v>287.10000000000002</v>
      </c>
      <c r="K26" s="229">
        <f t="shared" si="0"/>
        <v>292.10000000000002</v>
      </c>
      <c r="L26" s="229">
        <f t="shared" si="1"/>
        <v>287.10000000000002</v>
      </c>
    </row>
    <row r="27" spans="2:16" ht="12.5" outlineLevel="2" x14ac:dyDescent="0.25">
      <c r="C27" s="8" t="s">
        <v>85</v>
      </c>
      <c r="D27" s="75" t="s">
        <v>290</v>
      </c>
      <c r="E27" s="75" t="s">
        <v>516</v>
      </c>
      <c r="G27" s="89" t="s">
        <v>494</v>
      </c>
      <c r="H27" s="63">
        <v>90.8</v>
      </c>
      <c r="I27" s="63">
        <v>90.8</v>
      </c>
      <c r="K27" s="63">
        <v>6.2175410550325871</v>
      </c>
      <c r="L27" s="63">
        <v>6.3</v>
      </c>
    </row>
    <row r="28" spans="2:16" ht="12.5" outlineLevel="2" x14ac:dyDescent="0.25">
      <c r="C28" s="8" t="s">
        <v>85</v>
      </c>
      <c r="D28" s="75" t="s">
        <v>327</v>
      </c>
      <c r="E28" s="75" t="s">
        <v>135</v>
      </c>
      <c r="G28" s="89" t="s">
        <v>494</v>
      </c>
      <c r="H28" s="63">
        <v>5.5</v>
      </c>
      <c r="I28" s="63">
        <v>7.7</v>
      </c>
      <c r="K28" s="229">
        <f>H28</f>
        <v>5.5</v>
      </c>
      <c r="L28" s="229">
        <f>I28</f>
        <v>7.7</v>
      </c>
    </row>
    <row r="29" spans="2:16" ht="12.5" outlineLevel="2" x14ac:dyDescent="0.25">
      <c r="C29" s="8" t="s">
        <v>89</v>
      </c>
      <c r="D29" s="75" t="s">
        <v>327</v>
      </c>
      <c r="E29" s="75" t="s">
        <v>135</v>
      </c>
      <c r="G29" s="89" t="s">
        <v>494</v>
      </c>
      <c r="H29" s="63">
        <v>423.5</v>
      </c>
      <c r="I29" s="63">
        <v>416.3</v>
      </c>
      <c r="K29" s="229">
        <f>H29</f>
        <v>423.5</v>
      </c>
      <c r="L29" s="229">
        <f>I29</f>
        <v>416.3</v>
      </c>
    </row>
    <row r="30" spans="2:16" ht="12.5" outlineLevel="2" x14ac:dyDescent="0.25">
      <c r="C30" s="8" t="s">
        <v>89</v>
      </c>
      <c r="D30" s="75" t="s">
        <v>290</v>
      </c>
      <c r="E30" s="75" t="s">
        <v>516</v>
      </c>
      <c r="G30" s="89" t="s">
        <v>494</v>
      </c>
      <c r="H30" s="63">
        <v>90.8</v>
      </c>
      <c r="I30" s="63">
        <v>90.8</v>
      </c>
      <c r="K30" s="63">
        <v>4.518205079399257</v>
      </c>
      <c r="L30" s="63">
        <v>4.5</v>
      </c>
    </row>
    <row r="31" spans="2:16" outlineLevel="1" x14ac:dyDescent="0.3">
      <c r="K31" s="87"/>
      <c r="L31" s="87"/>
    </row>
    <row r="32" spans="2:16" ht="13.5" outlineLevel="1" x14ac:dyDescent="0.35">
      <c r="B32" s="31" t="s">
        <v>517</v>
      </c>
      <c r="C32" s="31"/>
      <c r="D32" s="31"/>
      <c r="E32" s="31"/>
      <c r="F32" s="31"/>
      <c r="G32" s="31"/>
      <c r="H32" s="31"/>
      <c r="I32" s="31"/>
      <c r="J32" s="31"/>
      <c r="K32" s="404" t="s">
        <v>511</v>
      </c>
      <c r="L32" s="404"/>
      <c r="M32" s="31"/>
    </row>
    <row r="33" spans="3:16" outlineLevel="2" x14ac:dyDescent="0.3">
      <c r="K33" s="87"/>
      <c r="L33" s="87"/>
    </row>
    <row r="34" spans="3:16" ht="12.5" outlineLevel="2" x14ac:dyDescent="0.25">
      <c r="C34" s="83" t="s">
        <v>104</v>
      </c>
      <c r="D34" s="281" t="s">
        <v>276</v>
      </c>
      <c r="E34" s="281" t="s">
        <v>135</v>
      </c>
      <c r="F34" s="83"/>
      <c r="G34" s="63">
        <v>177.2</v>
      </c>
      <c r="H34" s="63">
        <v>196.1</v>
      </c>
      <c r="I34" s="63">
        <v>162.1</v>
      </c>
      <c r="J34" s="83"/>
      <c r="K34" s="229">
        <f t="shared" ref="K34:L37" si="4">H34</f>
        <v>196.1</v>
      </c>
      <c r="L34" s="229">
        <f t="shared" si="4"/>
        <v>162.1</v>
      </c>
    </row>
    <row r="35" spans="3:16" ht="12.5" outlineLevel="2" x14ac:dyDescent="0.25">
      <c r="C35" s="83" t="s">
        <v>80</v>
      </c>
      <c r="D35" s="281" t="s">
        <v>281</v>
      </c>
      <c r="E35" s="281" t="s">
        <v>135</v>
      </c>
      <c r="F35" s="83"/>
      <c r="G35" s="63">
        <v>183.3</v>
      </c>
      <c r="H35" s="63">
        <v>186</v>
      </c>
      <c r="I35" s="63">
        <v>185</v>
      </c>
      <c r="J35" s="83"/>
      <c r="K35" s="229">
        <f t="shared" si="4"/>
        <v>186</v>
      </c>
      <c r="L35" s="229">
        <f t="shared" si="4"/>
        <v>185</v>
      </c>
    </row>
    <row r="36" spans="3:16" ht="12.5" outlineLevel="2" x14ac:dyDescent="0.25">
      <c r="C36" s="83" t="s">
        <v>106</v>
      </c>
      <c r="D36" s="281" t="s">
        <v>285</v>
      </c>
      <c r="E36" s="281" t="s">
        <v>135</v>
      </c>
      <c r="F36" s="83"/>
      <c r="G36" s="63">
        <v>49.58</v>
      </c>
      <c r="H36" s="63">
        <v>45.83</v>
      </c>
      <c r="I36" s="63">
        <v>40.9</v>
      </c>
      <c r="K36" s="229">
        <f t="shared" si="4"/>
        <v>45.83</v>
      </c>
      <c r="L36" s="229">
        <f t="shared" si="4"/>
        <v>40.9</v>
      </c>
    </row>
    <row r="37" spans="3:16" ht="12.5" outlineLevel="2" x14ac:dyDescent="0.25">
      <c r="C37" s="83" t="s">
        <v>87</v>
      </c>
      <c r="D37" s="281" t="s">
        <v>512</v>
      </c>
      <c r="E37" s="281" t="s">
        <v>135</v>
      </c>
      <c r="F37" s="83"/>
      <c r="G37" s="63">
        <v>137.05000000000001</v>
      </c>
      <c r="H37" s="63">
        <v>136.26</v>
      </c>
      <c r="I37" s="63">
        <v>134.80000000000001</v>
      </c>
      <c r="K37" s="229">
        <f t="shared" si="4"/>
        <v>136.26</v>
      </c>
      <c r="L37" s="229">
        <f t="shared" si="4"/>
        <v>134.80000000000001</v>
      </c>
      <c r="N37" s="62"/>
      <c r="O37" s="62"/>
    </row>
    <row r="38" spans="3:16" ht="12.5" outlineLevel="2" x14ac:dyDescent="0.25">
      <c r="C38" s="83" t="s">
        <v>87</v>
      </c>
      <c r="D38" s="281"/>
      <c r="E38" s="281"/>
      <c r="F38" s="83"/>
      <c r="G38" s="63">
        <v>66.17</v>
      </c>
      <c r="H38" s="63">
        <v>64.180000000000007</v>
      </c>
      <c r="I38" s="63">
        <v>63.2</v>
      </c>
      <c r="K38" s="229">
        <f t="shared" ref="K38:K48" si="5">H38</f>
        <v>64.180000000000007</v>
      </c>
      <c r="L38" s="229">
        <f t="shared" ref="L38:L48" si="6">I38</f>
        <v>63.2</v>
      </c>
      <c r="N38" s="62"/>
      <c r="O38" s="62"/>
    </row>
    <row r="39" spans="3:16" ht="12.5" outlineLevel="2" x14ac:dyDescent="0.25">
      <c r="C39" s="83" t="s">
        <v>108</v>
      </c>
      <c r="D39" s="281" t="s">
        <v>298</v>
      </c>
      <c r="E39" s="281" t="s">
        <v>135</v>
      </c>
      <c r="F39" s="83"/>
      <c r="G39" s="63">
        <v>32.869999999999997</v>
      </c>
      <c r="H39" s="63">
        <v>28.12</v>
      </c>
      <c r="I39" s="63">
        <v>23.58</v>
      </c>
      <c r="K39" s="229">
        <f t="shared" si="5"/>
        <v>28.12</v>
      </c>
      <c r="L39" s="229">
        <f t="shared" si="6"/>
        <v>23.58</v>
      </c>
    </row>
    <row r="40" spans="3:16" ht="12.5" outlineLevel="2" x14ac:dyDescent="0.25">
      <c r="C40" s="83" t="s">
        <v>116</v>
      </c>
      <c r="D40" s="281" t="s">
        <v>303</v>
      </c>
      <c r="E40" s="281" t="s">
        <v>135</v>
      </c>
      <c r="F40" s="83"/>
      <c r="G40" s="63">
        <v>19.11</v>
      </c>
      <c r="H40" s="63">
        <v>18.279320362470102</v>
      </c>
      <c r="I40" s="63">
        <v>18.3</v>
      </c>
      <c r="K40" s="229">
        <f t="shared" si="5"/>
        <v>18.279320362470102</v>
      </c>
      <c r="L40" s="229">
        <f t="shared" si="6"/>
        <v>18.3</v>
      </c>
    </row>
    <row r="41" spans="3:16" ht="12.5" outlineLevel="2" x14ac:dyDescent="0.25">
      <c r="C41" s="83" t="s">
        <v>110</v>
      </c>
      <c r="D41" s="281" t="s">
        <v>307</v>
      </c>
      <c r="E41" s="281" t="s">
        <v>135</v>
      </c>
      <c r="F41" s="83"/>
      <c r="G41" s="63">
        <v>24.2</v>
      </c>
      <c r="H41" s="63">
        <v>24.1</v>
      </c>
      <c r="I41" s="63">
        <v>23.9</v>
      </c>
      <c r="K41" s="229">
        <f t="shared" si="5"/>
        <v>24.1</v>
      </c>
      <c r="L41" s="229">
        <f t="shared" si="6"/>
        <v>23.9</v>
      </c>
    </row>
    <row r="42" spans="3:16" ht="12.5" outlineLevel="2" x14ac:dyDescent="0.25">
      <c r="C42" s="83" t="s">
        <v>112</v>
      </c>
      <c r="D42" s="281" t="s">
        <v>310</v>
      </c>
      <c r="E42" s="281" t="s">
        <v>135</v>
      </c>
      <c r="F42" s="83"/>
      <c r="G42" s="63">
        <v>87.7</v>
      </c>
      <c r="H42" s="63">
        <v>86.884250225089886</v>
      </c>
      <c r="I42" s="63">
        <v>86.4</v>
      </c>
      <c r="K42" s="229">
        <f t="shared" si="5"/>
        <v>86.884250225089886</v>
      </c>
      <c r="L42" s="229">
        <f t="shared" si="6"/>
        <v>86.4</v>
      </c>
    </row>
    <row r="43" spans="3:16" ht="12.5" outlineLevel="2" x14ac:dyDescent="0.25">
      <c r="C43" s="83" t="s">
        <v>94</v>
      </c>
      <c r="D43" s="281" t="s">
        <v>313</v>
      </c>
      <c r="E43" s="281" t="s">
        <v>135</v>
      </c>
      <c r="F43" s="83"/>
      <c r="G43" s="63">
        <v>88.7</v>
      </c>
      <c r="H43" s="63">
        <v>101.8</v>
      </c>
      <c r="I43" s="63">
        <v>91.3</v>
      </c>
      <c r="K43" s="229">
        <f t="shared" si="5"/>
        <v>101.8</v>
      </c>
      <c r="L43" s="229">
        <f t="shared" si="6"/>
        <v>91.3</v>
      </c>
    </row>
    <row r="44" spans="3:16" ht="12.5" outlineLevel="2" x14ac:dyDescent="0.25">
      <c r="C44" s="83" t="s">
        <v>114</v>
      </c>
      <c r="D44" s="281" t="s">
        <v>513</v>
      </c>
      <c r="E44" s="281" t="s">
        <v>135</v>
      </c>
      <c r="F44" s="83"/>
      <c r="G44" s="63">
        <v>86.8</v>
      </c>
      <c r="H44" s="63">
        <v>83.7</v>
      </c>
      <c r="I44" s="63">
        <v>68.91</v>
      </c>
      <c r="K44" s="229">
        <f t="shared" si="5"/>
        <v>83.7</v>
      </c>
      <c r="L44" s="229">
        <f t="shared" si="6"/>
        <v>68.91</v>
      </c>
      <c r="N44" s="62"/>
      <c r="O44" s="62"/>
    </row>
    <row r="45" spans="3:16" ht="12.5" outlineLevel="2" x14ac:dyDescent="0.25">
      <c r="C45" s="83" t="s">
        <v>114</v>
      </c>
      <c r="D45" s="281"/>
      <c r="E45" s="281"/>
      <c r="F45" s="83"/>
      <c r="G45" s="89" t="s">
        <v>494</v>
      </c>
      <c r="H45" s="89" t="s">
        <v>494</v>
      </c>
      <c r="I45" s="63">
        <v>12.78</v>
      </c>
      <c r="K45" s="229" t="str">
        <f t="shared" si="5"/>
        <v>-</v>
      </c>
      <c r="L45" s="229">
        <f t="shared" si="6"/>
        <v>12.78</v>
      </c>
      <c r="N45" s="62"/>
      <c r="O45" s="62"/>
    </row>
    <row r="46" spans="3:16" ht="12.5" outlineLevel="2" x14ac:dyDescent="0.25">
      <c r="C46" s="83" t="s">
        <v>118</v>
      </c>
      <c r="D46" s="281" t="s">
        <v>335</v>
      </c>
      <c r="E46" s="281" t="s">
        <v>135</v>
      </c>
      <c r="F46" s="83"/>
      <c r="G46" s="63">
        <v>83</v>
      </c>
      <c r="H46" s="63">
        <v>84</v>
      </c>
      <c r="I46" s="63">
        <v>84</v>
      </c>
      <c r="K46" s="229">
        <f t="shared" si="5"/>
        <v>84</v>
      </c>
      <c r="L46" s="229">
        <f t="shared" si="6"/>
        <v>84</v>
      </c>
      <c r="N46" s="48"/>
      <c r="O46" s="48"/>
      <c r="P46" s="48"/>
    </row>
    <row r="47" spans="3:16" ht="12.5" outlineLevel="2" x14ac:dyDescent="0.25">
      <c r="C47" s="83" t="s">
        <v>96</v>
      </c>
      <c r="D47" s="281" t="s">
        <v>345</v>
      </c>
      <c r="E47" s="281" t="s">
        <v>514</v>
      </c>
      <c r="F47" s="83"/>
      <c r="G47" s="63">
        <v>695</v>
      </c>
      <c r="H47" s="63">
        <v>690</v>
      </c>
      <c r="I47" s="63">
        <v>595</v>
      </c>
      <c r="K47" s="229">
        <f t="shared" si="5"/>
        <v>690</v>
      </c>
      <c r="L47" s="229">
        <f t="shared" si="6"/>
        <v>595</v>
      </c>
    </row>
    <row r="48" spans="3:16" ht="12.5" outlineLevel="2" x14ac:dyDescent="0.25">
      <c r="C48" s="83" t="s">
        <v>98</v>
      </c>
      <c r="D48" s="281" t="s">
        <v>352</v>
      </c>
      <c r="E48" s="281" t="s">
        <v>515</v>
      </c>
      <c r="F48" s="83"/>
      <c r="G48" s="63">
        <v>453.54999999999995</v>
      </c>
      <c r="H48" s="63">
        <v>455.95</v>
      </c>
      <c r="I48" s="63">
        <v>446.2</v>
      </c>
      <c r="K48" s="229">
        <f t="shared" si="5"/>
        <v>455.95</v>
      </c>
      <c r="L48" s="229">
        <f t="shared" si="6"/>
        <v>446.2</v>
      </c>
      <c r="N48" s="62"/>
      <c r="O48" s="62"/>
      <c r="P48" s="62"/>
    </row>
    <row r="49" spans="2:13" ht="12.5" outlineLevel="2" x14ac:dyDescent="0.25">
      <c r="C49" s="83" t="s">
        <v>82</v>
      </c>
      <c r="D49" s="281" t="s">
        <v>361</v>
      </c>
      <c r="E49" s="281" t="s">
        <v>135</v>
      </c>
      <c r="F49" s="83"/>
      <c r="G49" s="63">
        <v>173</v>
      </c>
      <c r="H49" s="63">
        <v>170</v>
      </c>
      <c r="I49" s="63">
        <v>167.9</v>
      </c>
      <c r="K49" s="229">
        <f t="shared" ref="K49:L51" si="7">H49</f>
        <v>170</v>
      </c>
      <c r="L49" s="229">
        <f t="shared" si="7"/>
        <v>167.9</v>
      </c>
    </row>
    <row r="50" spans="2:13" ht="12.5" outlineLevel="2" x14ac:dyDescent="0.25">
      <c r="C50" s="83" t="s">
        <v>100</v>
      </c>
      <c r="D50" s="281" t="s">
        <v>365</v>
      </c>
      <c r="E50" s="281" t="s">
        <v>135</v>
      </c>
      <c r="F50" s="83"/>
      <c r="G50" s="63">
        <v>67.7</v>
      </c>
      <c r="H50" s="63">
        <v>66.400000000000006</v>
      </c>
      <c r="I50" s="63">
        <v>61.4</v>
      </c>
      <c r="K50" s="229">
        <f t="shared" si="7"/>
        <v>66.400000000000006</v>
      </c>
      <c r="L50" s="229">
        <f t="shared" si="7"/>
        <v>61.4</v>
      </c>
    </row>
    <row r="51" spans="2:13" ht="12.5" outlineLevel="2" x14ac:dyDescent="0.25">
      <c r="C51" s="83" t="s">
        <v>102</v>
      </c>
      <c r="D51" s="281" t="s">
        <v>373</v>
      </c>
      <c r="E51" s="281" t="s">
        <v>135</v>
      </c>
      <c r="F51" s="83"/>
      <c r="G51" s="63">
        <v>300.27999999999997</v>
      </c>
      <c r="H51" s="63">
        <v>289.8</v>
      </c>
      <c r="I51" s="63">
        <v>270.8</v>
      </c>
      <c r="K51" s="229">
        <f t="shared" si="7"/>
        <v>289.8</v>
      </c>
      <c r="L51" s="229">
        <f t="shared" si="7"/>
        <v>270.8</v>
      </c>
    </row>
    <row r="52" spans="2:13" ht="12.5" outlineLevel="2" x14ac:dyDescent="0.25">
      <c r="C52" s="83" t="s">
        <v>85</v>
      </c>
      <c r="D52" s="281" t="s">
        <v>290</v>
      </c>
      <c r="E52" s="281" t="s">
        <v>516</v>
      </c>
      <c r="F52" s="83"/>
      <c r="G52" s="89" t="s">
        <v>494</v>
      </c>
      <c r="H52" s="63">
        <v>107.79897272165408</v>
      </c>
      <c r="I52" s="63">
        <v>85.594526973584493</v>
      </c>
      <c r="K52" s="63">
        <v>7.3815477817976012</v>
      </c>
      <c r="L52" s="63">
        <v>5.9</v>
      </c>
    </row>
    <row r="53" spans="2:13" ht="12.5" outlineLevel="2" x14ac:dyDescent="0.25">
      <c r="C53" s="83" t="s">
        <v>85</v>
      </c>
      <c r="D53" s="281" t="s">
        <v>327</v>
      </c>
      <c r="E53" s="281" t="s">
        <v>135</v>
      </c>
      <c r="F53" s="83"/>
      <c r="G53" s="89" t="s">
        <v>494</v>
      </c>
      <c r="H53" s="63">
        <v>7.89</v>
      </c>
      <c r="I53" s="63">
        <v>6.8710000000000004</v>
      </c>
      <c r="K53" s="229">
        <f>H53</f>
        <v>7.89</v>
      </c>
      <c r="L53" s="229">
        <f>I53</f>
        <v>6.8710000000000004</v>
      </c>
    </row>
    <row r="54" spans="2:13" ht="12.5" outlineLevel="2" x14ac:dyDescent="0.25">
      <c r="C54" s="83" t="s">
        <v>89</v>
      </c>
      <c r="D54" s="281" t="s">
        <v>327</v>
      </c>
      <c r="E54" s="281" t="s">
        <v>135</v>
      </c>
      <c r="F54" s="83"/>
      <c r="G54" s="89" t="s">
        <v>494</v>
      </c>
      <c r="H54" s="63">
        <v>419.5</v>
      </c>
      <c r="I54" s="63">
        <v>401</v>
      </c>
      <c r="K54" s="229">
        <f>H54</f>
        <v>419.5</v>
      </c>
      <c r="L54" s="229">
        <f>I54</f>
        <v>401</v>
      </c>
    </row>
    <row r="55" spans="2:13" ht="12.5" outlineLevel="2" x14ac:dyDescent="0.25">
      <c r="C55" s="83" t="s">
        <v>89</v>
      </c>
      <c r="D55" s="281" t="s">
        <v>290</v>
      </c>
      <c r="E55" s="281" t="s">
        <v>516</v>
      </c>
      <c r="F55" s="83"/>
      <c r="G55" s="89" t="s">
        <v>494</v>
      </c>
      <c r="H55" s="63">
        <v>97.8</v>
      </c>
      <c r="I55" s="63">
        <v>70.39</v>
      </c>
      <c r="K55" s="63">
        <v>4.8665248542428117</v>
      </c>
      <c r="L55" s="63">
        <v>3.5</v>
      </c>
    </row>
    <row r="56" spans="2:13" x14ac:dyDescent="0.3">
      <c r="K56" s="95"/>
      <c r="L56" s="95"/>
    </row>
    <row r="57" spans="2:13" ht="13.5" x14ac:dyDescent="0.35">
      <c r="B57" s="9" t="s">
        <v>518</v>
      </c>
      <c r="C57" s="9"/>
      <c r="D57" s="10"/>
      <c r="E57" s="10"/>
      <c r="F57" s="9"/>
      <c r="G57" s="9"/>
      <c r="H57" s="9"/>
      <c r="I57" s="9"/>
      <c r="J57" s="9"/>
      <c r="K57" s="9"/>
      <c r="L57" s="9"/>
      <c r="M57" s="9"/>
    </row>
    <row r="58" spans="2:13" outlineLevel="1" x14ac:dyDescent="0.3"/>
    <row r="59" spans="2:13" ht="13.5" outlineLevel="1" x14ac:dyDescent="0.35">
      <c r="B59" s="31" t="s">
        <v>519</v>
      </c>
      <c r="C59" s="31"/>
      <c r="D59" s="31"/>
      <c r="E59" s="31"/>
      <c r="F59" s="31"/>
      <c r="G59" s="31"/>
      <c r="H59" s="31"/>
      <c r="I59" s="31"/>
      <c r="J59" s="31"/>
      <c r="K59" s="404" t="s">
        <v>520</v>
      </c>
      <c r="L59" s="404"/>
      <c r="M59" s="31"/>
    </row>
    <row r="60" spans="2:13" outlineLevel="2" x14ac:dyDescent="0.3">
      <c r="K60" s="95"/>
      <c r="L60" s="95"/>
    </row>
    <row r="61" spans="2:13" ht="12.5" outlineLevel="2" x14ac:dyDescent="0.25">
      <c r="C61" s="8" t="s">
        <v>104</v>
      </c>
      <c r="D61" s="281" t="s">
        <v>277</v>
      </c>
      <c r="E61" s="75" t="s">
        <v>521</v>
      </c>
      <c r="G61" s="63">
        <v>153.30000000000001</v>
      </c>
      <c r="H61" s="63">
        <v>150.30000000000001</v>
      </c>
      <c r="I61" s="63">
        <v>147.4</v>
      </c>
      <c r="K61" s="229">
        <f>H61</f>
        <v>150.30000000000001</v>
      </c>
      <c r="L61" s="229">
        <f>I61</f>
        <v>147.4</v>
      </c>
    </row>
    <row r="62" spans="2:13" ht="12.5" outlineLevel="2" x14ac:dyDescent="0.25">
      <c r="C62" s="8" t="s">
        <v>80</v>
      </c>
      <c r="D62" s="75" t="s">
        <v>280</v>
      </c>
      <c r="E62" s="75" t="s">
        <v>522</v>
      </c>
      <c r="G62" s="89" t="s">
        <v>494</v>
      </c>
      <c r="H62" s="89" t="s">
        <v>494</v>
      </c>
      <c r="I62" s="63">
        <v>7</v>
      </c>
      <c r="K62" s="229" t="str">
        <f>H62</f>
        <v>-</v>
      </c>
      <c r="L62" s="63">
        <v>130.16967676918807</v>
      </c>
    </row>
    <row r="63" spans="2:13" ht="12.5" outlineLevel="2" x14ac:dyDescent="0.25">
      <c r="C63" s="8" t="s">
        <v>106</v>
      </c>
      <c r="D63" s="75" t="s">
        <v>288</v>
      </c>
      <c r="E63" s="75" t="s">
        <v>523</v>
      </c>
      <c r="G63" s="63">
        <v>143.6</v>
      </c>
      <c r="H63" s="63">
        <v>142.80000000000001</v>
      </c>
      <c r="I63" s="63">
        <v>142</v>
      </c>
      <c r="K63" s="229">
        <f t="shared" ref="K63:K68" si="8">H63</f>
        <v>142.80000000000001</v>
      </c>
      <c r="L63" s="229">
        <f t="shared" ref="K63:L68" si="9">I63</f>
        <v>142</v>
      </c>
    </row>
    <row r="64" spans="2:13" ht="12.5" outlineLevel="2" x14ac:dyDescent="0.25">
      <c r="C64" s="8" t="s">
        <v>108</v>
      </c>
      <c r="D64" s="75" t="s">
        <v>301</v>
      </c>
      <c r="E64" s="75" t="s">
        <v>523</v>
      </c>
      <c r="G64" s="63">
        <v>145.29</v>
      </c>
      <c r="H64" s="63">
        <v>144.61000000000001</v>
      </c>
      <c r="I64" s="63">
        <v>143.93</v>
      </c>
      <c r="K64" s="229">
        <f t="shared" si="8"/>
        <v>144.61000000000001</v>
      </c>
      <c r="L64" s="229">
        <f t="shared" si="9"/>
        <v>143.93</v>
      </c>
    </row>
    <row r="65" spans="2:15" ht="12.5" outlineLevel="2" x14ac:dyDescent="0.25">
      <c r="C65" s="8" t="s">
        <v>116</v>
      </c>
      <c r="D65" s="75" t="s">
        <v>304</v>
      </c>
      <c r="E65" s="75" t="s">
        <v>523</v>
      </c>
      <c r="G65" s="89" t="s">
        <v>494</v>
      </c>
      <c r="H65" s="89" t="s">
        <v>494</v>
      </c>
      <c r="I65" s="63">
        <v>140</v>
      </c>
      <c r="K65" s="229" t="str">
        <f t="shared" si="9"/>
        <v>-</v>
      </c>
      <c r="L65" s="229">
        <f t="shared" si="9"/>
        <v>140</v>
      </c>
    </row>
    <row r="66" spans="2:15" ht="12.5" outlineLevel="2" x14ac:dyDescent="0.25">
      <c r="C66" s="8" t="s">
        <v>110</v>
      </c>
      <c r="D66" s="75" t="s">
        <v>308</v>
      </c>
      <c r="E66" s="75" t="s">
        <v>523</v>
      </c>
      <c r="G66" s="63">
        <v>158.80000000000001</v>
      </c>
      <c r="H66" s="63">
        <v>157.69999999999999</v>
      </c>
      <c r="I66" s="63">
        <v>156.9</v>
      </c>
      <c r="K66" s="229">
        <f t="shared" si="8"/>
        <v>157.69999999999999</v>
      </c>
      <c r="L66" s="229">
        <f t="shared" si="9"/>
        <v>156.9</v>
      </c>
    </row>
    <row r="67" spans="2:15" ht="12.5" outlineLevel="2" x14ac:dyDescent="0.25">
      <c r="C67" s="8" t="s">
        <v>94</v>
      </c>
      <c r="D67" s="75" t="s">
        <v>315</v>
      </c>
      <c r="E67" s="75" t="s">
        <v>523</v>
      </c>
      <c r="G67" s="89" t="s">
        <v>494</v>
      </c>
      <c r="H67" s="89" t="s">
        <v>494</v>
      </c>
      <c r="I67" s="63">
        <v>133.69999999999999</v>
      </c>
      <c r="K67" s="229" t="str">
        <f t="shared" si="9"/>
        <v>-</v>
      </c>
      <c r="L67" s="229">
        <f t="shared" si="9"/>
        <v>133.69999999999999</v>
      </c>
    </row>
    <row r="68" spans="2:15" ht="12.5" outlineLevel="2" x14ac:dyDescent="0.25">
      <c r="C68" s="8" t="s">
        <v>114</v>
      </c>
      <c r="D68" s="75" t="s">
        <v>323</v>
      </c>
      <c r="E68" s="75" t="s">
        <v>523</v>
      </c>
      <c r="G68" s="63">
        <v>129.52000000000001</v>
      </c>
      <c r="H68" s="63">
        <v>128.91</v>
      </c>
      <c r="I68" s="63">
        <v>128.31</v>
      </c>
      <c r="K68" s="229">
        <f t="shared" si="8"/>
        <v>128.91</v>
      </c>
      <c r="L68" s="229">
        <f t="shared" si="9"/>
        <v>128.31</v>
      </c>
    </row>
    <row r="69" spans="2:15" ht="12.5" outlineLevel="2" x14ac:dyDescent="0.25">
      <c r="C69" s="8" t="s">
        <v>98</v>
      </c>
      <c r="D69" s="75" t="s">
        <v>358</v>
      </c>
      <c r="E69" s="75" t="s">
        <v>522</v>
      </c>
      <c r="G69" s="63">
        <v>289</v>
      </c>
      <c r="H69" s="63">
        <v>286</v>
      </c>
      <c r="I69" s="63">
        <v>284</v>
      </c>
      <c r="K69" s="63">
        <v>130.85536198989729</v>
      </c>
      <c r="L69" s="63">
        <v>130.1974025974026</v>
      </c>
    </row>
    <row r="70" spans="2:15" ht="12.5" outlineLevel="2" x14ac:dyDescent="0.25">
      <c r="C70" s="8" t="s">
        <v>100</v>
      </c>
      <c r="D70" s="75" t="s">
        <v>371</v>
      </c>
      <c r="E70" s="75" t="s">
        <v>521</v>
      </c>
      <c r="G70" s="63">
        <v>133</v>
      </c>
      <c r="H70" s="63">
        <v>132</v>
      </c>
      <c r="I70" s="63">
        <v>131</v>
      </c>
      <c r="K70" s="229">
        <f>H70</f>
        <v>132</v>
      </c>
      <c r="L70" s="229">
        <f>I70</f>
        <v>131</v>
      </c>
    </row>
    <row r="71" spans="2:15" ht="12.5" outlineLevel="2" x14ac:dyDescent="0.25">
      <c r="C71" s="8" t="s">
        <v>102</v>
      </c>
      <c r="D71" s="75" t="s">
        <v>374</v>
      </c>
      <c r="E71" s="75" t="s">
        <v>523</v>
      </c>
      <c r="G71" s="63">
        <v>140.4</v>
      </c>
      <c r="H71" s="63">
        <v>139.30000000000001</v>
      </c>
      <c r="I71" s="63">
        <v>138.30000000000001</v>
      </c>
      <c r="K71" s="229">
        <f t="shared" ref="K71:L73" si="10">H71</f>
        <v>139.30000000000001</v>
      </c>
      <c r="L71" s="229">
        <f t="shared" si="10"/>
        <v>138.30000000000001</v>
      </c>
    </row>
    <row r="72" spans="2:15" ht="12.5" outlineLevel="2" x14ac:dyDescent="0.25">
      <c r="C72" s="8" t="s">
        <v>85</v>
      </c>
      <c r="D72" s="75" t="s">
        <v>292</v>
      </c>
      <c r="E72" s="75" t="s">
        <v>524</v>
      </c>
      <c r="G72" s="89" t="s">
        <v>494</v>
      </c>
      <c r="H72" s="63">
        <v>128.37</v>
      </c>
      <c r="I72" s="63">
        <v>127.28</v>
      </c>
      <c r="K72" s="229">
        <f t="shared" si="10"/>
        <v>128.37</v>
      </c>
      <c r="L72" s="229">
        <f t="shared" si="10"/>
        <v>127.28</v>
      </c>
    </row>
    <row r="73" spans="2:15" ht="12.5" outlineLevel="2" x14ac:dyDescent="0.25">
      <c r="C73" s="8" t="s">
        <v>89</v>
      </c>
      <c r="D73" s="75" t="s">
        <v>292</v>
      </c>
      <c r="E73" s="75" t="s">
        <v>524</v>
      </c>
      <c r="G73" s="89" t="s">
        <v>494</v>
      </c>
      <c r="H73" s="63">
        <v>128.37</v>
      </c>
      <c r="I73" s="63">
        <v>127.28</v>
      </c>
      <c r="K73" s="229">
        <f t="shared" si="10"/>
        <v>128.37</v>
      </c>
      <c r="L73" s="229">
        <f t="shared" si="10"/>
        <v>127.28</v>
      </c>
    </row>
    <row r="74" spans="2:15" outlineLevel="1" x14ac:dyDescent="0.3">
      <c r="K74" s="95"/>
      <c r="L74" s="95"/>
    </row>
    <row r="75" spans="2:15" ht="13.5" outlineLevel="1" x14ac:dyDescent="0.35">
      <c r="B75" s="31" t="s">
        <v>525</v>
      </c>
      <c r="C75" s="31"/>
      <c r="D75" s="31"/>
      <c r="E75" s="31"/>
      <c r="F75" s="31"/>
      <c r="G75" s="31"/>
      <c r="H75" s="31"/>
      <c r="I75" s="31"/>
      <c r="J75" s="31"/>
      <c r="K75" s="404" t="s">
        <v>520</v>
      </c>
      <c r="L75" s="404"/>
      <c r="M75" s="31"/>
    </row>
    <row r="76" spans="2:15" outlineLevel="2" x14ac:dyDescent="0.3">
      <c r="K76" s="95"/>
      <c r="L76" s="95"/>
    </row>
    <row r="77" spans="2:15" ht="12.5" outlineLevel="2" x14ac:dyDescent="0.25">
      <c r="C77" s="8" t="s">
        <v>104</v>
      </c>
      <c r="D77" s="75" t="s">
        <v>277</v>
      </c>
      <c r="E77" s="75" t="s">
        <v>521</v>
      </c>
      <c r="G77" s="63">
        <v>151</v>
      </c>
      <c r="H77" s="63">
        <v>149.19999999999999</v>
      </c>
      <c r="I77" s="63">
        <v>153</v>
      </c>
      <c r="K77" s="229">
        <f>H77</f>
        <v>149.19999999999999</v>
      </c>
      <c r="L77" s="229">
        <f>I77</f>
        <v>153</v>
      </c>
    </row>
    <row r="78" spans="2:15" outlineLevel="2" x14ac:dyDescent="0.3">
      <c r="C78" s="8" t="s">
        <v>80</v>
      </c>
      <c r="D78" s="75" t="s">
        <v>280</v>
      </c>
      <c r="E78" s="75" t="s">
        <v>522</v>
      </c>
      <c r="G78" s="63">
        <v>-4</v>
      </c>
      <c r="H78" s="63">
        <v>-11</v>
      </c>
      <c r="I78" s="63">
        <v>-4</v>
      </c>
      <c r="K78" s="229">
        <f>INPUTS│Outcomes!K55</f>
        <v>135.70045327267459</v>
      </c>
      <c r="L78" s="229">
        <f>INPUTS│Outcomes!L55</f>
        <v>134.821642266841</v>
      </c>
      <c r="N78" s="141" t="s">
        <v>661</v>
      </c>
      <c r="O78" s="141" t="s">
        <v>526</v>
      </c>
    </row>
    <row r="79" spans="2:15" ht="12.5" outlineLevel="2" x14ac:dyDescent="0.25">
      <c r="C79" s="8" t="s">
        <v>106</v>
      </c>
      <c r="D79" s="75" t="s">
        <v>288</v>
      </c>
      <c r="E79" s="75" t="s">
        <v>523</v>
      </c>
      <c r="G79" s="63">
        <v>144.5</v>
      </c>
      <c r="H79" s="63">
        <v>148.30000000000001</v>
      </c>
      <c r="I79" s="63">
        <v>144.6</v>
      </c>
      <c r="K79" s="229">
        <f>H79</f>
        <v>148.30000000000001</v>
      </c>
      <c r="L79" s="229">
        <f t="shared" ref="K79:L84" si="11">I79</f>
        <v>144.6</v>
      </c>
    </row>
    <row r="80" spans="2:15" ht="12.5" outlineLevel="2" x14ac:dyDescent="0.25">
      <c r="C80" s="8" t="s">
        <v>108</v>
      </c>
      <c r="D80" s="75" t="s">
        <v>301</v>
      </c>
      <c r="E80" s="75" t="s">
        <v>523</v>
      </c>
      <c r="G80" s="63">
        <v>147.54</v>
      </c>
      <c r="H80" s="63">
        <v>152.38999999999999</v>
      </c>
      <c r="I80" s="63">
        <v>153.6</v>
      </c>
      <c r="K80" s="229">
        <f>H80</f>
        <v>152.38999999999999</v>
      </c>
      <c r="L80" s="229">
        <f t="shared" si="11"/>
        <v>153.6</v>
      </c>
    </row>
    <row r="81" spans="2:13" ht="12.5" outlineLevel="2" x14ac:dyDescent="0.25">
      <c r="C81" s="8" t="s">
        <v>116</v>
      </c>
      <c r="D81" s="75" t="s">
        <v>304</v>
      </c>
      <c r="E81" s="75" t="s">
        <v>523</v>
      </c>
      <c r="G81" s="63">
        <v>141</v>
      </c>
      <c r="H81" s="63">
        <v>151.33000000000001</v>
      </c>
      <c r="I81" s="63">
        <v>153.63</v>
      </c>
      <c r="K81" s="229">
        <f t="shared" si="11"/>
        <v>151.33000000000001</v>
      </c>
      <c r="L81" s="229">
        <f t="shared" si="11"/>
        <v>153.63</v>
      </c>
    </row>
    <row r="82" spans="2:13" ht="12.5" outlineLevel="2" x14ac:dyDescent="0.25">
      <c r="C82" s="8" t="s">
        <v>110</v>
      </c>
      <c r="D82" s="75" t="s">
        <v>308</v>
      </c>
      <c r="E82" s="75" t="s">
        <v>523</v>
      </c>
      <c r="G82" s="63">
        <v>158.80000000000001</v>
      </c>
      <c r="H82" s="63">
        <v>162.62</v>
      </c>
      <c r="I82" s="63">
        <v>153.1</v>
      </c>
      <c r="K82" s="229">
        <f>H82</f>
        <v>162.62</v>
      </c>
      <c r="L82" s="229">
        <f t="shared" si="11"/>
        <v>153.1</v>
      </c>
    </row>
    <row r="83" spans="2:13" ht="12.5" outlineLevel="2" x14ac:dyDescent="0.25">
      <c r="C83" s="8" t="s">
        <v>94</v>
      </c>
      <c r="D83" s="75" t="s">
        <v>315</v>
      </c>
      <c r="E83" s="75" t="s">
        <v>523</v>
      </c>
      <c r="G83" s="63">
        <v>128.9</v>
      </c>
      <c r="H83" s="63">
        <v>129.9</v>
      </c>
      <c r="I83" s="63">
        <v>129.30000000000001</v>
      </c>
      <c r="K83" s="229">
        <f t="shared" si="11"/>
        <v>129.9</v>
      </c>
      <c r="L83" s="229">
        <f t="shared" si="11"/>
        <v>129.30000000000001</v>
      </c>
    </row>
    <row r="84" spans="2:13" ht="12.5" outlineLevel="2" x14ac:dyDescent="0.25">
      <c r="C84" s="8" t="s">
        <v>114</v>
      </c>
      <c r="D84" s="75" t="s">
        <v>323</v>
      </c>
      <c r="E84" s="75" t="s">
        <v>523</v>
      </c>
      <c r="G84" s="63">
        <v>133.09</v>
      </c>
      <c r="H84" s="63">
        <v>136.41</v>
      </c>
      <c r="I84" s="63">
        <v>128.57</v>
      </c>
      <c r="K84" s="229">
        <f>H84</f>
        <v>136.41</v>
      </c>
      <c r="L84" s="229">
        <f t="shared" si="11"/>
        <v>128.57</v>
      </c>
    </row>
    <row r="85" spans="2:13" ht="12.5" outlineLevel="2" x14ac:dyDescent="0.25">
      <c r="C85" s="8" t="s">
        <v>98</v>
      </c>
      <c r="D85" s="75" t="s">
        <v>358</v>
      </c>
      <c r="E85" s="75" t="s">
        <v>522</v>
      </c>
      <c r="G85" s="63">
        <v>311</v>
      </c>
      <c r="H85" s="63">
        <v>314.0734882776373</v>
      </c>
      <c r="I85" s="63">
        <v>308</v>
      </c>
      <c r="K85" s="63">
        <v>143.69999999999999</v>
      </c>
      <c r="L85" s="63">
        <v>141.19999999999999</v>
      </c>
    </row>
    <row r="86" spans="2:13" ht="12.5" outlineLevel="2" x14ac:dyDescent="0.25">
      <c r="C86" s="8" t="s">
        <v>100</v>
      </c>
      <c r="D86" s="75" t="s">
        <v>371</v>
      </c>
      <c r="E86" s="75" t="s">
        <v>521</v>
      </c>
      <c r="G86" s="63">
        <v>143.19999999999999</v>
      </c>
      <c r="H86" s="63">
        <v>147</v>
      </c>
      <c r="I86" s="63">
        <v>145</v>
      </c>
      <c r="K86" s="229">
        <f>H86</f>
        <v>147</v>
      </c>
      <c r="L86" s="229">
        <f>I86</f>
        <v>145</v>
      </c>
    </row>
    <row r="87" spans="2:13" ht="12.5" outlineLevel="2" x14ac:dyDescent="0.25">
      <c r="C87" s="8" t="s">
        <v>102</v>
      </c>
      <c r="D87" s="75" t="s">
        <v>374</v>
      </c>
      <c r="E87" s="75" t="s">
        <v>523</v>
      </c>
      <c r="G87" s="63">
        <v>135.85</v>
      </c>
      <c r="H87" s="63">
        <v>133.69999999999999</v>
      </c>
      <c r="I87" s="63">
        <v>135</v>
      </c>
      <c r="K87" s="229">
        <f t="shared" ref="K87:L89" si="12">H87</f>
        <v>133.69999999999999</v>
      </c>
      <c r="L87" s="229">
        <f t="shared" si="12"/>
        <v>135</v>
      </c>
    </row>
    <row r="88" spans="2:13" ht="12.5" outlineLevel="2" x14ac:dyDescent="0.25">
      <c r="C88" s="8" t="s">
        <v>85</v>
      </c>
      <c r="D88" s="75" t="s">
        <v>292</v>
      </c>
      <c r="E88" s="75" t="s">
        <v>524</v>
      </c>
      <c r="G88" s="89" t="s">
        <v>494</v>
      </c>
      <c r="H88" s="63">
        <v>140.40690574617878</v>
      </c>
      <c r="I88" s="63">
        <v>141.25074237770039</v>
      </c>
      <c r="K88" s="229">
        <f t="shared" si="12"/>
        <v>140.40690574617878</v>
      </c>
      <c r="L88" s="229">
        <f t="shared" si="12"/>
        <v>141.25074237770039</v>
      </c>
    </row>
    <row r="89" spans="2:13" ht="12.5" outlineLevel="2" x14ac:dyDescent="0.25">
      <c r="C89" s="8" t="s">
        <v>89</v>
      </c>
      <c r="D89" s="75" t="s">
        <v>292</v>
      </c>
      <c r="E89" s="75" t="s">
        <v>524</v>
      </c>
      <c r="G89" s="89" t="s">
        <v>494</v>
      </c>
      <c r="H89" s="63">
        <v>132.76</v>
      </c>
      <c r="I89" s="63">
        <v>136.5335059822356</v>
      </c>
      <c r="K89" s="229">
        <f t="shared" si="12"/>
        <v>132.76</v>
      </c>
      <c r="L89" s="229">
        <f t="shared" si="12"/>
        <v>136.5335059822356</v>
      </c>
    </row>
    <row r="90" spans="2:13" x14ac:dyDescent="0.3">
      <c r="K90" s="95"/>
      <c r="L90" s="95"/>
    </row>
    <row r="91" spans="2:13" ht="13.5" x14ac:dyDescent="0.35">
      <c r="B91" s="9" t="s">
        <v>224</v>
      </c>
      <c r="C91" s="9"/>
      <c r="D91" s="10"/>
      <c r="E91" s="10"/>
      <c r="F91" s="9"/>
      <c r="G91" s="9"/>
      <c r="H91" s="9"/>
      <c r="I91" s="9"/>
      <c r="J91" s="9"/>
      <c r="K91" s="96"/>
      <c r="L91" s="96"/>
      <c r="M91" s="9"/>
    </row>
    <row r="92" spans="2:13" outlineLevel="1" x14ac:dyDescent="0.3">
      <c r="K92" s="95"/>
      <c r="L92" s="95"/>
    </row>
    <row r="93" spans="2:13" ht="13.5" outlineLevel="1" x14ac:dyDescent="0.35">
      <c r="B93" s="31" t="s">
        <v>527</v>
      </c>
      <c r="C93" s="31"/>
      <c r="D93" s="31"/>
      <c r="E93" s="31"/>
      <c r="F93" s="31"/>
      <c r="G93" s="31"/>
      <c r="H93" s="31"/>
      <c r="I93" s="31"/>
      <c r="J93" s="31"/>
      <c r="K93" s="404" t="s">
        <v>528</v>
      </c>
      <c r="L93" s="404"/>
      <c r="M93" s="31"/>
    </row>
    <row r="94" spans="2:13" outlineLevel="2" x14ac:dyDescent="0.3">
      <c r="K94" s="95"/>
      <c r="L94" s="95"/>
    </row>
    <row r="95" spans="2:13" ht="12.5" outlineLevel="2" x14ac:dyDescent="0.25">
      <c r="C95" s="8" t="s">
        <v>80</v>
      </c>
      <c r="D95" s="75" t="s">
        <v>227</v>
      </c>
      <c r="E95" s="75" t="s">
        <v>228</v>
      </c>
      <c r="G95" s="63">
        <v>12</v>
      </c>
      <c r="H95" s="63">
        <v>12</v>
      </c>
      <c r="I95" s="63">
        <v>12</v>
      </c>
      <c r="J95" s="62"/>
      <c r="K95" s="229">
        <f>H95</f>
        <v>12</v>
      </c>
      <c r="L95" s="229">
        <f>I95</f>
        <v>12</v>
      </c>
      <c r="M95" s="62"/>
    </row>
    <row r="96" spans="2:13" ht="12.5" outlineLevel="2" x14ac:dyDescent="0.25">
      <c r="C96" s="8" t="s">
        <v>106</v>
      </c>
      <c r="D96" s="75" t="s">
        <v>229</v>
      </c>
      <c r="E96" s="75" t="s">
        <v>228</v>
      </c>
      <c r="G96" s="63">
        <v>12.8</v>
      </c>
      <c r="H96" s="63">
        <v>12.5</v>
      </c>
      <c r="I96" s="63">
        <v>12.2</v>
      </c>
      <c r="J96" s="62"/>
      <c r="K96" s="229">
        <f>H96</f>
        <v>12.5</v>
      </c>
      <c r="L96" s="229">
        <f>I96</f>
        <v>12.2</v>
      </c>
      <c r="M96" s="62"/>
    </row>
    <row r="97" spans="3:13" ht="12.5" outlineLevel="2" x14ac:dyDescent="0.25">
      <c r="C97" s="8" t="s">
        <v>87</v>
      </c>
      <c r="D97" s="75" t="s">
        <v>231</v>
      </c>
      <c r="E97" s="75" t="s">
        <v>232</v>
      </c>
      <c r="G97" s="66">
        <v>0.24722222222222223</v>
      </c>
      <c r="H97" s="66">
        <v>0.22847222222222222</v>
      </c>
      <c r="I97" s="66">
        <v>0.20833333333333334</v>
      </c>
      <c r="K97" s="229">
        <f>H97*24</f>
        <v>5.4833333333333334</v>
      </c>
      <c r="L97" s="229">
        <f>I97*24</f>
        <v>5</v>
      </c>
    </row>
    <row r="98" spans="3:13" ht="12.5" outlineLevel="2" x14ac:dyDescent="0.25">
      <c r="C98" s="8" t="s">
        <v>108</v>
      </c>
      <c r="D98" s="75" t="s">
        <v>233</v>
      </c>
      <c r="E98" s="75" t="s">
        <v>232</v>
      </c>
      <c r="G98" s="66">
        <v>0.20833333333333334</v>
      </c>
      <c r="H98" s="66">
        <v>0.20833333333333334</v>
      </c>
      <c r="I98" s="66">
        <v>0.20833333333333334</v>
      </c>
      <c r="K98" s="229">
        <f>H98*24</f>
        <v>5</v>
      </c>
      <c r="L98" s="229">
        <f>I98*24</f>
        <v>5</v>
      </c>
    </row>
    <row r="99" spans="3:13" ht="12.5" outlineLevel="2" x14ac:dyDescent="0.25">
      <c r="C99" s="8" t="s">
        <v>116</v>
      </c>
      <c r="D99" s="75" t="s">
        <v>234</v>
      </c>
      <c r="E99" s="75" t="s">
        <v>228</v>
      </c>
      <c r="G99" s="63">
        <v>4.4000000000000004</v>
      </c>
      <c r="H99" s="63">
        <v>4.4000000000000004</v>
      </c>
      <c r="I99" s="63">
        <v>4.4000000000000004</v>
      </c>
      <c r="J99" s="62"/>
      <c r="K99" s="229">
        <f>H99</f>
        <v>4.4000000000000004</v>
      </c>
      <c r="L99" s="229">
        <f>I99</f>
        <v>4.4000000000000004</v>
      </c>
      <c r="M99" s="62"/>
    </row>
    <row r="100" spans="3:13" ht="12.5" outlineLevel="2" x14ac:dyDescent="0.25">
      <c r="C100" s="8" t="s">
        <v>110</v>
      </c>
      <c r="D100" s="75" t="s">
        <v>235</v>
      </c>
      <c r="E100" s="75" t="s">
        <v>225</v>
      </c>
      <c r="G100" s="63">
        <v>0.2</v>
      </c>
      <c r="H100" s="63">
        <v>0.2</v>
      </c>
      <c r="I100" s="63">
        <v>0.2</v>
      </c>
      <c r="J100" s="62"/>
      <c r="K100" s="229">
        <f>H100*60</f>
        <v>12</v>
      </c>
      <c r="L100" s="229">
        <f>I100*60</f>
        <v>12</v>
      </c>
      <c r="M100" s="62"/>
    </row>
    <row r="101" spans="3:13" ht="12.5" outlineLevel="2" x14ac:dyDescent="0.25">
      <c r="C101" s="8" t="s">
        <v>112</v>
      </c>
      <c r="D101" s="75" t="s">
        <v>236</v>
      </c>
      <c r="E101" s="75" t="s">
        <v>228</v>
      </c>
      <c r="G101" s="63">
        <v>12</v>
      </c>
      <c r="H101" s="63">
        <v>12</v>
      </c>
      <c r="I101" s="63">
        <v>12</v>
      </c>
      <c r="J101" s="62"/>
      <c r="K101" s="229">
        <f t="shared" ref="K101:L103" si="13">H101</f>
        <v>12</v>
      </c>
      <c r="L101" s="229">
        <f t="shared" si="13"/>
        <v>12</v>
      </c>
      <c r="M101" s="62"/>
    </row>
    <row r="102" spans="3:13" ht="12.5" outlineLevel="2" x14ac:dyDescent="0.25">
      <c r="C102" s="8" t="s">
        <v>94</v>
      </c>
      <c r="D102" s="75" t="s">
        <v>237</v>
      </c>
      <c r="E102" s="75" t="s">
        <v>228</v>
      </c>
      <c r="G102" s="63">
        <v>9</v>
      </c>
      <c r="H102" s="63">
        <v>9</v>
      </c>
      <c r="I102" s="63">
        <v>9</v>
      </c>
      <c r="J102" s="62"/>
      <c r="K102" s="229">
        <f t="shared" si="13"/>
        <v>9</v>
      </c>
      <c r="L102" s="229">
        <f t="shared" si="13"/>
        <v>9</v>
      </c>
      <c r="M102" s="62"/>
    </row>
    <row r="103" spans="3:13" ht="12.5" outlineLevel="2" x14ac:dyDescent="0.25">
      <c r="C103" s="8" t="s">
        <v>114</v>
      </c>
      <c r="D103" s="75" t="s">
        <v>238</v>
      </c>
      <c r="E103" s="75" t="s">
        <v>228</v>
      </c>
      <c r="G103" s="63">
        <v>10</v>
      </c>
      <c r="H103" s="63">
        <v>10</v>
      </c>
      <c r="I103" s="63">
        <v>10</v>
      </c>
      <c r="J103" s="62"/>
      <c r="K103" s="229">
        <f t="shared" si="13"/>
        <v>10</v>
      </c>
      <c r="L103" s="229">
        <f t="shared" si="13"/>
        <v>10</v>
      </c>
      <c r="M103" s="62"/>
    </row>
    <row r="104" spans="3:13" ht="12.5" outlineLevel="2" x14ac:dyDescent="0.25">
      <c r="C104" s="8" t="s">
        <v>118</v>
      </c>
      <c r="D104" s="75" t="s">
        <v>240</v>
      </c>
      <c r="E104" s="75" t="s">
        <v>225</v>
      </c>
      <c r="G104" s="63">
        <v>0.22800000000000001</v>
      </c>
      <c r="H104" s="63">
        <v>0.214</v>
      </c>
      <c r="I104" s="63">
        <v>0.2</v>
      </c>
      <c r="J104" s="62"/>
      <c r="K104" s="229">
        <f>H104*60</f>
        <v>12.84</v>
      </c>
      <c r="L104" s="229">
        <f>I104*60</f>
        <v>12</v>
      </c>
      <c r="M104" s="62"/>
    </row>
    <row r="105" spans="3:13" ht="12.5" outlineLevel="2" x14ac:dyDescent="0.25">
      <c r="C105" s="8" t="s">
        <v>96</v>
      </c>
      <c r="D105" s="75" t="s">
        <v>241</v>
      </c>
      <c r="E105" s="75" t="s">
        <v>242</v>
      </c>
      <c r="G105" s="63">
        <v>0.13</v>
      </c>
      <c r="H105" s="63">
        <v>0.13</v>
      </c>
      <c r="I105" s="63">
        <v>0.13</v>
      </c>
      <c r="J105" s="62"/>
      <c r="K105" s="229">
        <f>H105*60</f>
        <v>7.8000000000000007</v>
      </c>
      <c r="L105" s="229">
        <f>I105*60</f>
        <v>7.8000000000000007</v>
      </c>
      <c r="M105" s="62"/>
    </row>
    <row r="106" spans="3:13" ht="12.5" outlineLevel="2" x14ac:dyDescent="0.25">
      <c r="C106" s="8" t="s">
        <v>98</v>
      </c>
      <c r="D106" s="75" t="s">
        <v>243</v>
      </c>
      <c r="E106" s="75" t="s">
        <v>244</v>
      </c>
      <c r="G106" s="66">
        <v>0.5</v>
      </c>
      <c r="H106" s="66">
        <v>0.5</v>
      </c>
      <c r="I106" s="66">
        <v>0.5</v>
      </c>
      <c r="K106" s="229">
        <f>H106*24</f>
        <v>12</v>
      </c>
      <c r="L106" s="229">
        <f>I106*24</f>
        <v>12</v>
      </c>
    </row>
    <row r="107" spans="3:13" ht="12.5" outlineLevel="2" x14ac:dyDescent="0.25">
      <c r="C107" s="8" t="s">
        <v>82</v>
      </c>
      <c r="D107" s="75" t="s">
        <v>245</v>
      </c>
      <c r="E107" s="75" t="s">
        <v>246</v>
      </c>
      <c r="G107" s="63">
        <v>12</v>
      </c>
      <c r="H107" s="63">
        <v>12</v>
      </c>
      <c r="I107" s="63">
        <v>12</v>
      </c>
      <c r="J107" s="62"/>
      <c r="K107" s="229">
        <f t="shared" ref="K107:L109" si="14">H107</f>
        <v>12</v>
      </c>
      <c r="L107" s="229">
        <f t="shared" si="14"/>
        <v>12</v>
      </c>
      <c r="M107" s="62"/>
    </row>
    <row r="108" spans="3:13" ht="12.5" outlineLevel="2" x14ac:dyDescent="0.25">
      <c r="C108" s="8" t="s">
        <v>100</v>
      </c>
      <c r="D108" s="75" t="s">
        <v>247</v>
      </c>
      <c r="E108" s="75" t="s">
        <v>228</v>
      </c>
      <c r="G108" s="63">
        <v>12</v>
      </c>
      <c r="H108" s="63">
        <v>12</v>
      </c>
      <c r="I108" s="63">
        <v>12</v>
      </c>
      <c r="J108" s="62"/>
      <c r="K108" s="229">
        <f t="shared" si="14"/>
        <v>12</v>
      </c>
      <c r="L108" s="229">
        <f t="shared" si="14"/>
        <v>12</v>
      </c>
      <c r="M108" s="62"/>
    </row>
    <row r="109" spans="3:13" ht="12.5" outlineLevel="2" x14ac:dyDescent="0.25">
      <c r="C109" s="8" t="s">
        <v>102</v>
      </c>
      <c r="D109" s="75" t="s">
        <v>248</v>
      </c>
      <c r="E109" s="75" t="s">
        <v>249</v>
      </c>
      <c r="G109" s="69">
        <v>12</v>
      </c>
      <c r="H109" s="69">
        <v>12</v>
      </c>
      <c r="I109" s="69">
        <v>12</v>
      </c>
      <c r="K109" s="229">
        <f t="shared" si="14"/>
        <v>12</v>
      </c>
      <c r="L109" s="229">
        <f t="shared" si="14"/>
        <v>12</v>
      </c>
    </row>
    <row r="110" spans="3:13" ht="12.5" outlineLevel="2" x14ac:dyDescent="0.25">
      <c r="C110" s="8" t="s">
        <v>85</v>
      </c>
      <c r="D110" s="75" t="s">
        <v>230</v>
      </c>
      <c r="E110" s="75" t="s">
        <v>225</v>
      </c>
      <c r="G110" s="89" t="s">
        <v>494</v>
      </c>
      <c r="H110" s="63">
        <v>0.2</v>
      </c>
      <c r="I110" s="63">
        <v>0.2</v>
      </c>
      <c r="J110" s="62"/>
      <c r="K110" s="229">
        <f>H110*60</f>
        <v>12</v>
      </c>
      <c r="L110" s="229">
        <f>I110*60</f>
        <v>12</v>
      </c>
      <c r="M110" s="62"/>
    </row>
    <row r="111" spans="3:13" ht="12.5" outlineLevel="2" x14ac:dyDescent="0.25">
      <c r="C111" s="8" t="s">
        <v>85</v>
      </c>
      <c r="D111" s="75" t="s">
        <v>239</v>
      </c>
      <c r="E111" s="75" t="s">
        <v>228</v>
      </c>
      <c r="G111" s="89" t="s">
        <v>494</v>
      </c>
      <c r="H111" s="63">
        <v>7.1</v>
      </c>
      <c r="I111" s="63">
        <v>8</v>
      </c>
      <c r="J111" s="62"/>
      <c r="K111" s="229">
        <f>H111</f>
        <v>7.1</v>
      </c>
      <c r="L111" s="229">
        <f>I111</f>
        <v>8</v>
      </c>
      <c r="M111" s="62"/>
    </row>
    <row r="112" spans="3:13" ht="12.5" outlineLevel="2" x14ac:dyDescent="0.25">
      <c r="C112" s="8" t="s">
        <v>89</v>
      </c>
      <c r="D112" s="75" t="s">
        <v>239</v>
      </c>
      <c r="E112" s="75" t="s">
        <v>228</v>
      </c>
      <c r="G112" s="89" t="s">
        <v>494</v>
      </c>
      <c r="H112" s="63">
        <v>9.4</v>
      </c>
      <c r="I112" s="63">
        <v>8</v>
      </c>
      <c r="J112" s="62"/>
      <c r="K112" s="229">
        <f>H112</f>
        <v>9.4</v>
      </c>
      <c r="L112" s="229">
        <f>I112</f>
        <v>8</v>
      </c>
      <c r="M112" s="62"/>
    </row>
    <row r="113" spans="2:13" ht="12.5" outlineLevel="2" x14ac:dyDescent="0.25">
      <c r="C113" s="8" t="s">
        <v>89</v>
      </c>
      <c r="D113" s="75" t="s">
        <v>230</v>
      </c>
      <c r="E113" s="75" t="s">
        <v>225</v>
      </c>
      <c r="G113" s="89" t="s">
        <v>494</v>
      </c>
      <c r="H113" s="63">
        <v>0.2</v>
      </c>
      <c r="I113" s="63">
        <v>0.2</v>
      </c>
      <c r="J113" s="62"/>
      <c r="K113" s="229">
        <f>H113*60</f>
        <v>12</v>
      </c>
      <c r="L113" s="229">
        <f>I113*60</f>
        <v>12</v>
      </c>
      <c r="M113" s="62"/>
    </row>
    <row r="114" spans="2:13" outlineLevel="1" x14ac:dyDescent="0.3">
      <c r="K114" s="95"/>
      <c r="L114" s="95"/>
    </row>
    <row r="115" spans="2:13" ht="13.5" outlineLevel="1" x14ac:dyDescent="0.35">
      <c r="B115" s="31" t="s">
        <v>529</v>
      </c>
      <c r="C115" s="31"/>
      <c r="D115" s="31"/>
      <c r="E115" s="31"/>
      <c r="F115" s="31"/>
      <c r="G115" s="31"/>
      <c r="H115" s="31"/>
      <c r="I115" s="31"/>
      <c r="J115" s="31"/>
      <c r="K115" s="404" t="s">
        <v>528</v>
      </c>
      <c r="L115" s="404"/>
      <c r="M115" s="31"/>
    </row>
    <row r="116" spans="2:13" outlineLevel="2" x14ac:dyDescent="0.3">
      <c r="K116" s="95"/>
      <c r="L116" s="95"/>
    </row>
    <row r="117" spans="2:13" ht="12.5" outlineLevel="2" x14ac:dyDescent="0.25">
      <c r="C117" s="8" t="s">
        <v>80</v>
      </c>
      <c r="D117" s="75" t="s">
        <v>227</v>
      </c>
      <c r="E117" s="75" t="s">
        <v>228</v>
      </c>
      <c r="G117" s="63">
        <v>7.4</v>
      </c>
      <c r="H117" s="63">
        <v>8.73</v>
      </c>
      <c r="I117" s="63">
        <v>18.649999999999999</v>
      </c>
      <c r="J117" s="62"/>
      <c r="K117" s="229">
        <f>H117</f>
        <v>8.73</v>
      </c>
      <c r="L117" s="229">
        <f>I117</f>
        <v>18.649999999999999</v>
      </c>
      <c r="M117" s="62"/>
    </row>
    <row r="118" spans="2:13" ht="12.5" outlineLevel="2" x14ac:dyDescent="0.25">
      <c r="C118" s="8" t="s">
        <v>106</v>
      </c>
      <c r="D118" s="75" t="s">
        <v>229</v>
      </c>
      <c r="E118" s="75" t="s">
        <v>228</v>
      </c>
      <c r="G118" s="63">
        <v>73.7</v>
      </c>
      <c r="H118" s="63">
        <v>14.67</v>
      </c>
      <c r="I118" s="63">
        <v>11.1</v>
      </c>
      <c r="J118" s="62"/>
      <c r="K118" s="229">
        <f>H118</f>
        <v>14.67</v>
      </c>
      <c r="L118" s="229">
        <f>I118</f>
        <v>11.1</v>
      </c>
      <c r="M118" s="62"/>
    </row>
    <row r="119" spans="2:13" ht="12.5" outlineLevel="2" x14ac:dyDescent="0.25">
      <c r="C119" s="8" t="s">
        <v>87</v>
      </c>
      <c r="D119" s="75" t="s">
        <v>231</v>
      </c>
      <c r="E119" s="75" t="s">
        <v>232</v>
      </c>
      <c r="G119" s="66">
        <v>0.22430555555555556</v>
      </c>
      <c r="H119" s="66">
        <v>0.3833333333333333</v>
      </c>
      <c r="I119" s="66">
        <v>0.25555555555555559</v>
      </c>
      <c r="K119" s="229">
        <f>H119*24</f>
        <v>9.1999999999999993</v>
      </c>
      <c r="L119" s="229">
        <f>I119*24</f>
        <v>6.1333333333333346</v>
      </c>
    </row>
    <row r="120" spans="2:13" ht="12.5" outlineLevel="2" x14ac:dyDescent="0.25">
      <c r="C120" s="8" t="s">
        <v>108</v>
      </c>
      <c r="D120" s="75" t="s">
        <v>233</v>
      </c>
      <c r="E120" s="75" t="s">
        <v>232</v>
      </c>
      <c r="G120" s="66">
        <v>0.17847222222222223</v>
      </c>
      <c r="H120" s="66">
        <v>0.16250000000000001</v>
      </c>
      <c r="I120" s="66">
        <v>0.14027777777777778</v>
      </c>
      <c r="K120" s="229">
        <f>H120*24</f>
        <v>3.9000000000000004</v>
      </c>
      <c r="L120" s="229">
        <f>I120*24</f>
        <v>3.3666666666666667</v>
      </c>
    </row>
    <row r="121" spans="2:13" ht="12.5" outlineLevel="2" x14ac:dyDescent="0.25">
      <c r="C121" s="8" t="s">
        <v>116</v>
      </c>
      <c r="D121" s="75" t="s">
        <v>234</v>
      </c>
      <c r="E121" s="75" t="s">
        <v>228</v>
      </c>
      <c r="G121" s="63">
        <v>0.7</v>
      </c>
      <c r="H121" s="63">
        <v>0.66</v>
      </c>
      <c r="I121" s="63">
        <v>3.2</v>
      </c>
      <c r="J121" s="62"/>
      <c r="K121" s="229">
        <f>H121</f>
        <v>0.66</v>
      </c>
      <c r="L121" s="229">
        <f>I121</f>
        <v>3.2</v>
      </c>
      <c r="M121" s="62"/>
    </row>
    <row r="122" spans="2:13" ht="12.5" outlineLevel="2" x14ac:dyDescent="0.25">
      <c r="C122" s="8" t="s">
        <v>110</v>
      </c>
      <c r="D122" s="75" t="s">
        <v>235</v>
      </c>
      <c r="E122" s="75" t="s">
        <v>225</v>
      </c>
      <c r="G122" s="63">
        <v>0.05</v>
      </c>
      <c r="H122" s="63">
        <v>0.27</v>
      </c>
      <c r="I122" s="63">
        <v>0.02</v>
      </c>
      <c r="J122" s="62"/>
      <c r="K122" s="229">
        <f>H122*60</f>
        <v>16.200000000000003</v>
      </c>
      <c r="L122" s="229">
        <f>I122*60</f>
        <v>1.2</v>
      </c>
      <c r="M122" s="62"/>
    </row>
    <row r="123" spans="2:13" ht="12.5" outlineLevel="2" x14ac:dyDescent="0.25">
      <c r="C123" s="8" t="s">
        <v>112</v>
      </c>
      <c r="D123" s="75" t="s">
        <v>236</v>
      </c>
      <c r="E123" s="75" t="s">
        <v>228</v>
      </c>
      <c r="G123" s="63">
        <v>44.6</v>
      </c>
      <c r="H123" s="63">
        <v>14.2</v>
      </c>
      <c r="I123" s="63">
        <v>10</v>
      </c>
      <c r="J123" s="62"/>
      <c r="K123" s="229">
        <f t="shared" ref="K123:L125" si="15">H123</f>
        <v>14.2</v>
      </c>
      <c r="L123" s="229">
        <f t="shared" si="15"/>
        <v>10</v>
      </c>
      <c r="M123" s="62"/>
    </row>
    <row r="124" spans="2:13" ht="12.5" outlineLevel="2" x14ac:dyDescent="0.25">
      <c r="C124" s="8" t="s">
        <v>94</v>
      </c>
      <c r="D124" s="75" t="s">
        <v>237</v>
      </c>
      <c r="E124" s="75" t="s">
        <v>228</v>
      </c>
      <c r="G124" s="63">
        <v>16.77</v>
      </c>
      <c r="H124" s="63">
        <v>7.38</v>
      </c>
      <c r="I124" s="63">
        <v>11.27</v>
      </c>
      <c r="J124" s="62"/>
      <c r="K124" s="229">
        <f t="shared" si="15"/>
        <v>7.38</v>
      </c>
      <c r="L124" s="229">
        <f t="shared" si="15"/>
        <v>11.27</v>
      </c>
      <c r="M124" s="62"/>
    </row>
    <row r="125" spans="2:13" ht="12.5" outlineLevel="2" x14ac:dyDescent="0.25">
      <c r="C125" s="8" t="s">
        <v>114</v>
      </c>
      <c r="D125" s="75" t="s">
        <v>238</v>
      </c>
      <c r="E125" s="75" t="s">
        <v>228</v>
      </c>
      <c r="G125" s="63">
        <v>8.5319000000000003</v>
      </c>
      <c r="H125" s="63">
        <v>7.15</v>
      </c>
      <c r="I125" s="63">
        <v>3.35</v>
      </c>
      <c r="J125" s="62"/>
      <c r="K125" s="229">
        <f t="shared" si="15"/>
        <v>7.15</v>
      </c>
      <c r="L125" s="229">
        <f t="shared" si="15"/>
        <v>3.35</v>
      </c>
      <c r="M125" s="62"/>
    </row>
    <row r="126" spans="2:13" ht="12.5" outlineLevel="2" x14ac:dyDescent="0.25">
      <c r="C126" s="8" t="s">
        <v>118</v>
      </c>
      <c r="D126" s="75" t="s">
        <v>240</v>
      </c>
      <c r="E126" s="75" t="s">
        <v>225</v>
      </c>
      <c r="G126" s="63">
        <v>0.54400000000000004</v>
      </c>
      <c r="H126" s="63">
        <v>0.161</v>
      </c>
      <c r="I126" s="63">
        <v>0.19</v>
      </c>
      <c r="J126" s="62"/>
      <c r="K126" s="229">
        <f>H126*60</f>
        <v>9.66</v>
      </c>
      <c r="L126" s="229">
        <f>I126*60</f>
        <v>11.4</v>
      </c>
      <c r="M126" s="62"/>
    </row>
    <row r="127" spans="2:13" ht="12.5" outlineLevel="2" x14ac:dyDescent="0.25">
      <c r="C127" s="8" t="s">
        <v>96</v>
      </c>
      <c r="D127" s="75" t="s">
        <v>241</v>
      </c>
      <c r="E127" s="75" t="s">
        <v>242</v>
      </c>
      <c r="G127" s="63">
        <v>0.21</v>
      </c>
      <c r="H127" s="63">
        <v>0.26</v>
      </c>
      <c r="I127" s="63">
        <v>0.12</v>
      </c>
      <c r="J127" s="62"/>
      <c r="K127" s="229">
        <f>H127*60</f>
        <v>15.600000000000001</v>
      </c>
      <c r="L127" s="229">
        <f>I127*60</f>
        <v>7.1999999999999993</v>
      </c>
      <c r="M127" s="62"/>
    </row>
    <row r="128" spans="2:13" ht="12.5" outlineLevel="2" x14ac:dyDescent="0.25">
      <c r="C128" s="8" t="s">
        <v>98</v>
      </c>
      <c r="D128" s="75" t="s">
        <v>243</v>
      </c>
      <c r="E128" s="75" t="s">
        <v>244</v>
      </c>
      <c r="G128" s="66">
        <v>0.54791666666666672</v>
      </c>
      <c r="H128" s="66">
        <v>0.38194444444444442</v>
      </c>
      <c r="I128" s="66">
        <v>0.42430555555555555</v>
      </c>
      <c r="K128" s="229">
        <f>H128*24</f>
        <v>9.1666666666666661</v>
      </c>
      <c r="L128" s="229">
        <f>I128*24</f>
        <v>10.183333333333334</v>
      </c>
    </row>
    <row r="129" spans="2:16" ht="12.5" outlineLevel="2" x14ac:dyDescent="0.25">
      <c r="C129" s="8" t="s">
        <v>82</v>
      </c>
      <c r="D129" s="75" t="s">
        <v>245</v>
      </c>
      <c r="E129" s="75" t="s">
        <v>246</v>
      </c>
      <c r="G129" s="63">
        <v>43.3</v>
      </c>
      <c r="H129" s="63">
        <v>16</v>
      </c>
      <c r="I129" s="63">
        <v>14.7</v>
      </c>
      <c r="J129" s="62"/>
      <c r="K129" s="229">
        <f t="shared" ref="K129:L131" si="16">H129</f>
        <v>16</v>
      </c>
      <c r="L129" s="229">
        <f t="shared" si="16"/>
        <v>14.7</v>
      </c>
      <c r="M129" s="62"/>
    </row>
    <row r="130" spans="2:16" ht="12.5" outlineLevel="2" x14ac:dyDescent="0.25">
      <c r="C130" s="8" t="s">
        <v>100</v>
      </c>
      <c r="D130" s="75" t="s">
        <v>247</v>
      </c>
      <c r="E130" s="75" t="s">
        <v>228</v>
      </c>
      <c r="G130" s="63">
        <v>12.3</v>
      </c>
      <c r="H130" s="63">
        <v>5.85</v>
      </c>
      <c r="I130" s="63">
        <v>7.6</v>
      </c>
      <c r="J130" s="62"/>
      <c r="K130" s="229">
        <f t="shared" si="16"/>
        <v>5.85</v>
      </c>
      <c r="L130" s="229">
        <f t="shared" si="16"/>
        <v>7.6</v>
      </c>
      <c r="M130" s="62"/>
    </row>
    <row r="131" spans="2:16" ht="12.5" outlineLevel="2" x14ac:dyDescent="0.25">
      <c r="C131" s="8" t="s">
        <v>102</v>
      </c>
      <c r="D131" s="75" t="s">
        <v>248</v>
      </c>
      <c r="E131" s="75" t="s">
        <v>249</v>
      </c>
      <c r="G131" s="69">
        <v>6.96</v>
      </c>
      <c r="H131" s="69">
        <v>10.46</v>
      </c>
      <c r="I131" s="69">
        <v>7.56</v>
      </c>
      <c r="K131" s="229">
        <f t="shared" si="16"/>
        <v>10.46</v>
      </c>
      <c r="L131" s="229">
        <f t="shared" si="16"/>
        <v>7.56</v>
      </c>
    </row>
    <row r="132" spans="2:16" ht="12.5" outlineLevel="2" x14ac:dyDescent="0.25">
      <c r="C132" s="8" t="s">
        <v>85</v>
      </c>
      <c r="D132" s="75" t="s">
        <v>230</v>
      </c>
      <c r="E132" s="75" t="s">
        <v>225</v>
      </c>
      <c r="G132" s="89" t="s">
        <v>494</v>
      </c>
      <c r="H132" s="63">
        <v>0.12</v>
      </c>
      <c r="I132" s="63">
        <v>0.19</v>
      </c>
      <c r="J132" s="62"/>
      <c r="K132" s="229">
        <f>H132*60</f>
        <v>7.1999999999999993</v>
      </c>
      <c r="L132" s="229">
        <f>I132*60</f>
        <v>11.4</v>
      </c>
      <c r="M132" s="62"/>
    </row>
    <row r="133" spans="2:16" ht="12.5" outlineLevel="2" x14ac:dyDescent="0.25">
      <c r="C133" s="8" t="s">
        <v>85</v>
      </c>
      <c r="D133" s="75" t="s">
        <v>239</v>
      </c>
      <c r="E133" s="75" t="s">
        <v>228</v>
      </c>
      <c r="G133" s="89" t="s">
        <v>494</v>
      </c>
      <c r="H133" s="63">
        <v>93.744790337089739</v>
      </c>
      <c r="I133" s="63">
        <v>31.6</v>
      </c>
      <c r="J133" s="62"/>
      <c r="K133" s="229">
        <f>H133</f>
        <v>93.744790337089739</v>
      </c>
      <c r="L133" s="229">
        <f>I133</f>
        <v>31.6</v>
      </c>
      <c r="M133" s="62"/>
    </row>
    <row r="134" spans="2:16" ht="12.5" outlineLevel="2" x14ac:dyDescent="0.25">
      <c r="C134" s="8" t="s">
        <v>89</v>
      </c>
      <c r="D134" s="75" t="s">
        <v>239</v>
      </c>
      <c r="E134" s="75" t="s">
        <v>228</v>
      </c>
      <c r="G134" s="89" t="s">
        <v>494</v>
      </c>
      <c r="H134" s="63">
        <v>19.059999999999999</v>
      </c>
      <c r="I134" s="63">
        <v>7.3</v>
      </c>
      <c r="J134" s="62"/>
      <c r="K134" s="229">
        <f>H134</f>
        <v>19.059999999999999</v>
      </c>
      <c r="L134" s="229">
        <f>I134</f>
        <v>7.3</v>
      </c>
      <c r="M134" s="62"/>
    </row>
    <row r="135" spans="2:16" ht="12.5" outlineLevel="2" x14ac:dyDescent="0.25">
      <c r="C135" s="8" t="s">
        <v>89</v>
      </c>
      <c r="D135" s="75" t="s">
        <v>230</v>
      </c>
      <c r="E135" s="75" t="s">
        <v>225</v>
      </c>
      <c r="G135" s="89" t="s">
        <v>494</v>
      </c>
      <c r="H135" s="63">
        <v>0.03</v>
      </c>
      <c r="I135" s="63">
        <v>0.06</v>
      </c>
      <c r="J135" s="62"/>
      <c r="K135" s="229">
        <f>H135*60</f>
        <v>1.7999999999999998</v>
      </c>
      <c r="L135" s="229">
        <f>I135*60</f>
        <v>3.5999999999999996</v>
      </c>
      <c r="M135" s="62"/>
    </row>
    <row r="136" spans="2:16" x14ac:dyDescent="0.3">
      <c r="K136" s="47"/>
      <c r="L136" s="47"/>
    </row>
    <row r="137" spans="2:16" ht="13.5" x14ac:dyDescent="0.35">
      <c r="B137" s="9" t="s">
        <v>165</v>
      </c>
      <c r="C137" s="9"/>
      <c r="D137" s="10"/>
      <c r="E137" s="10"/>
      <c r="F137" s="9"/>
      <c r="G137" s="9"/>
      <c r="H137" s="9"/>
      <c r="I137" s="9"/>
      <c r="J137" s="9"/>
      <c r="K137" s="56"/>
      <c r="L137" s="56"/>
      <c r="M137" s="9"/>
    </row>
    <row r="138" spans="2:16" outlineLevel="1" x14ac:dyDescent="0.3">
      <c r="K138" s="47"/>
      <c r="L138" s="47"/>
    </row>
    <row r="139" spans="2:16" ht="13.5" outlineLevel="1" x14ac:dyDescent="0.35">
      <c r="B139" s="31" t="s">
        <v>530</v>
      </c>
      <c r="C139" s="31"/>
      <c r="D139" s="31"/>
      <c r="E139" s="31"/>
      <c r="F139" s="31"/>
      <c r="G139" s="31"/>
      <c r="H139" s="31"/>
      <c r="I139" s="31"/>
      <c r="J139" s="31"/>
      <c r="K139" s="404" t="s">
        <v>531</v>
      </c>
      <c r="L139" s="404"/>
      <c r="M139" s="31"/>
    </row>
    <row r="140" spans="2:16" outlineLevel="2" x14ac:dyDescent="0.3">
      <c r="K140" s="47"/>
      <c r="L140" s="47"/>
    </row>
    <row r="141" spans="2:16" ht="12.5" outlineLevel="2" x14ac:dyDescent="0.25">
      <c r="C141" s="8" t="s">
        <v>104</v>
      </c>
      <c r="D141" s="281" t="s">
        <v>278</v>
      </c>
      <c r="E141" s="75" t="s">
        <v>532</v>
      </c>
      <c r="G141" s="69">
        <v>0.66</v>
      </c>
      <c r="H141" s="69">
        <v>0.66</v>
      </c>
      <c r="I141" s="69">
        <v>0.66</v>
      </c>
      <c r="J141" s="70"/>
      <c r="K141" s="229">
        <f xml:space="preserve"> H141</f>
        <v>0.66</v>
      </c>
      <c r="L141" s="229">
        <f xml:space="preserve"> I141</f>
        <v>0.66</v>
      </c>
      <c r="M141" s="70"/>
    </row>
    <row r="142" spans="2:16" ht="12.5" outlineLevel="2" x14ac:dyDescent="0.25">
      <c r="C142" s="8" t="s">
        <v>80</v>
      </c>
      <c r="D142" s="75" t="s">
        <v>279</v>
      </c>
      <c r="E142" s="75" t="s">
        <v>532</v>
      </c>
      <c r="G142" s="69">
        <v>1.23</v>
      </c>
      <c r="H142" s="69">
        <v>1.23</v>
      </c>
      <c r="I142" s="69">
        <v>1.23</v>
      </c>
      <c r="J142" s="70"/>
      <c r="K142" s="229">
        <f xml:space="preserve"> H142</f>
        <v>1.23</v>
      </c>
      <c r="L142" s="229">
        <f xml:space="preserve"> I142</f>
        <v>1.23</v>
      </c>
      <c r="M142" s="70"/>
    </row>
    <row r="143" spans="2:16" ht="12.5" outlineLevel="2" x14ac:dyDescent="0.25">
      <c r="C143" s="8" t="s">
        <v>106</v>
      </c>
      <c r="D143" s="75" t="s">
        <v>284</v>
      </c>
      <c r="E143" s="75" t="s">
        <v>533</v>
      </c>
      <c r="G143" s="71">
        <v>2322</v>
      </c>
      <c r="H143" s="71">
        <v>2275</v>
      </c>
      <c r="I143" s="71">
        <v>2221</v>
      </c>
      <c r="J143" s="72"/>
      <c r="K143" s="97">
        <v>1.9041066768442214</v>
      </c>
      <c r="L143" s="97">
        <v>1.84</v>
      </c>
      <c r="M143" s="72"/>
    </row>
    <row r="144" spans="2:16" ht="12.75" customHeight="1" outlineLevel="2" x14ac:dyDescent="0.25">
      <c r="C144" s="8" t="s">
        <v>87</v>
      </c>
      <c r="D144" s="75" t="s">
        <v>293</v>
      </c>
      <c r="E144" s="75" t="s">
        <v>534</v>
      </c>
      <c r="G144" s="71">
        <v>987</v>
      </c>
      <c r="H144" s="71">
        <v>987</v>
      </c>
      <c r="I144" s="71">
        <v>987</v>
      </c>
      <c r="J144" s="72"/>
      <c r="K144" s="97">
        <v>0.21765309977046091</v>
      </c>
      <c r="L144" s="97">
        <v>0.22</v>
      </c>
      <c r="M144" s="72"/>
      <c r="O144" s="310"/>
      <c r="P144" s="310"/>
    </row>
    <row r="145" spans="3:16" ht="12.75" customHeight="1" outlineLevel="2" x14ac:dyDescent="0.25">
      <c r="C145" s="8" t="s">
        <v>87</v>
      </c>
      <c r="D145" s="75" t="s">
        <v>294</v>
      </c>
      <c r="E145" s="75" t="s">
        <v>534</v>
      </c>
      <c r="G145" s="71">
        <v>3490</v>
      </c>
      <c r="H145" s="71">
        <v>3108</v>
      </c>
      <c r="I145" s="71">
        <v>2908</v>
      </c>
      <c r="J145" s="72"/>
      <c r="K145" s="97">
        <v>0.68537571842613221</v>
      </c>
      <c r="L145" s="97">
        <v>0.65</v>
      </c>
      <c r="M145" s="72"/>
      <c r="O145" s="310"/>
      <c r="P145" s="310"/>
    </row>
    <row r="146" spans="3:16" ht="12.5" outlineLevel="2" x14ac:dyDescent="0.25">
      <c r="C146" s="8" t="s">
        <v>108</v>
      </c>
      <c r="D146" s="75" t="s">
        <v>297</v>
      </c>
      <c r="E146" s="75" t="s">
        <v>535</v>
      </c>
      <c r="G146" s="69">
        <v>0.42099999999999999</v>
      </c>
      <c r="H146" s="69">
        <v>0.41699999999999998</v>
      </c>
      <c r="I146" s="69">
        <v>0.41299999999999998</v>
      </c>
      <c r="J146" s="70"/>
      <c r="K146" s="229">
        <f xml:space="preserve"> H146</f>
        <v>0.41699999999999998</v>
      </c>
      <c r="L146" s="229">
        <f xml:space="preserve"> I146</f>
        <v>0.41299999999999998</v>
      </c>
      <c r="M146" s="72"/>
    </row>
    <row r="147" spans="3:16" ht="12.5" outlineLevel="2" x14ac:dyDescent="0.25">
      <c r="C147" s="8" t="s">
        <v>116</v>
      </c>
      <c r="D147" s="75" t="s">
        <v>302</v>
      </c>
      <c r="E147" s="75" t="s">
        <v>532</v>
      </c>
      <c r="G147" s="69">
        <v>1.23</v>
      </c>
      <c r="H147" s="69">
        <v>1.23</v>
      </c>
      <c r="I147" s="69">
        <v>1.23</v>
      </c>
      <c r="J147" s="70"/>
      <c r="K147" s="229">
        <f xml:space="preserve"> H147</f>
        <v>1.23</v>
      </c>
      <c r="L147" s="229">
        <f xml:space="preserve"> I147</f>
        <v>1.23</v>
      </c>
      <c r="M147" s="72"/>
    </row>
    <row r="148" spans="3:16" ht="12.5" outlineLevel="2" x14ac:dyDescent="0.25">
      <c r="C148" s="8" t="s">
        <v>110</v>
      </c>
      <c r="D148" s="75" t="s">
        <v>306</v>
      </c>
      <c r="E148" s="75" t="s">
        <v>533</v>
      </c>
      <c r="G148" s="71">
        <v>350</v>
      </c>
      <c r="H148" s="71">
        <v>350</v>
      </c>
      <c r="I148" s="71">
        <v>350</v>
      </c>
      <c r="J148" s="72"/>
      <c r="K148" s="97">
        <v>0.49155180931860942</v>
      </c>
      <c r="L148" s="97">
        <v>0.47589910938880953</v>
      </c>
      <c r="M148" s="72"/>
    </row>
    <row r="149" spans="3:16" ht="12.5" outlineLevel="2" x14ac:dyDescent="0.25">
      <c r="C149" s="8" t="s">
        <v>112</v>
      </c>
      <c r="D149" s="75" t="s">
        <v>311</v>
      </c>
      <c r="E149" s="75" t="s">
        <v>532</v>
      </c>
      <c r="G149" s="69">
        <v>0.57999999999999996</v>
      </c>
      <c r="H149" s="69">
        <v>0.57999999999999996</v>
      </c>
      <c r="I149" s="69">
        <v>0.57999999999999996</v>
      </c>
      <c r="J149" s="70"/>
      <c r="K149" s="229">
        <f t="shared" ref="K149:L152" si="17" xml:space="preserve"> H149</f>
        <v>0.57999999999999996</v>
      </c>
      <c r="L149" s="229">
        <f t="shared" si="17"/>
        <v>0.57999999999999996</v>
      </c>
      <c r="M149" s="72"/>
    </row>
    <row r="150" spans="3:16" ht="12.5" outlineLevel="2" x14ac:dyDescent="0.25">
      <c r="C150" s="8" t="s">
        <v>94</v>
      </c>
      <c r="D150" s="75" t="s">
        <v>314</v>
      </c>
      <c r="E150" s="75" t="s">
        <v>532</v>
      </c>
      <c r="G150" s="69">
        <v>0.82</v>
      </c>
      <c r="H150" s="69">
        <v>0.82</v>
      </c>
      <c r="I150" s="69">
        <v>0.82</v>
      </c>
      <c r="J150" s="70"/>
      <c r="K150" s="229">
        <f t="shared" si="17"/>
        <v>0.82</v>
      </c>
      <c r="L150" s="229">
        <f t="shared" si="17"/>
        <v>0.82</v>
      </c>
      <c r="M150" s="70"/>
      <c r="O150" s="309"/>
    </row>
    <row r="151" spans="3:16" ht="12.5" outlineLevel="2" x14ac:dyDescent="0.25">
      <c r="C151" s="8" t="s">
        <v>114</v>
      </c>
      <c r="D151" s="75" t="s">
        <v>322</v>
      </c>
      <c r="E151" s="75" t="s">
        <v>536</v>
      </c>
      <c r="G151" s="69">
        <v>1.23</v>
      </c>
      <c r="H151" s="69">
        <v>1.23</v>
      </c>
      <c r="I151" s="69">
        <v>1.23</v>
      </c>
      <c r="J151" s="70"/>
      <c r="K151" s="229">
        <f t="shared" si="17"/>
        <v>1.23</v>
      </c>
      <c r="L151" s="229">
        <f t="shared" si="17"/>
        <v>1.23</v>
      </c>
      <c r="M151" s="70"/>
    </row>
    <row r="152" spans="3:16" ht="12.5" outlineLevel="2" x14ac:dyDescent="0.25">
      <c r="C152" s="8" t="s">
        <v>118</v>
      </c>
      <c r="D152" s="75" t="s">
        <v>334</v>
      </c>
      <c r="E152" s="75" t="s">
        <v>536</v>
      </c>
      <c r="G152" s="69">
        <v>3.6</v>
      </c>
      <c r="H152" s="69">
        <v>3.3</v>
      </c>
      <c r="I152" s="69">
        <v>3</v>
      </c>
      <c r="J152" s="70"/>
      <c r="K152" s="229">
        <f t="shared" si="17"/>
        <v>3.3</v>
      </c>
      <c r="L152" s="229">
        <f t="shared" si="17"/>
        <v>3</v>
      </c>
      <c r="M152" s="70"/>
    </row>
    <row r="153" spans="3:16" ht="12.5" outlineLevel="2" x14ac:dyDescent="0.25">
      <c r="C153" s="8" t="s">
        <v>98</v>
      </c>
      <c r="D153" s="75" t="s">
        <v>351</v>
      </c>
      <c r="E153" s="75" t="s">
        <v>537</v>
      </c>
      <c r="G153" s="71">
        <v>6904</v>
      </c>
      <c r="H153" s="71">
        <v>6904</v>
      </c>
      <c r="I153" s="71">
        <v>6904</v>
      </c>
      <c r="J153" s="72"/>
      <c r="K153" s="97">
        <v>0.95751618304980002</v>
      </c>
      <c r="L153" s="97">
        <v>0.95410616669882031</v>
      </c>
      <c r="M153" s="72"/>
    </row>
    <row r="154" spans="3:16" ht="12.5" outlineLevel="2" x14ac:dyDescent="0.25">
      <c r="C154" s="8" t="s">
        <v>82</v>
      </c>
      <c r="D154" s="75" t="s">
        <v>359</v>
      </c>
      <c r="E154" s="75" t="s">
        <v>536</v>
      </c>
      <c r="G154" s="69">
        <v>1.23</v>
      </c>
      <c r="H154" s="69">
        <v>1.23</v>
      </c>
      <c r="I154" s="69">
        <v>1.23</v>
      </c>
      <c r="J154" s="70"/>
      <c r="K154" s="229">
        <f xml:space="preserve"> H154</f>
        <v>1.23</v>
      </c>
      <c r="L154" s="229">
        <f xml:space="preserve"> I154</f>
        <v>1.23</v>
      </c>
      <c r="M154" s="70"/>
    </row>
    <row r="155" spans="3:16" ht="12.5" outlineLevel="2" x14ac:dyDescent="0.25">
      <c r="C155" s="8" t="s">
        <v>100</v>
      </c>
      <c r="D155" s="75" t="s">
        <v>366</v>
      </c>
      <c r="E155" s="281" t="s">
        <v>538</v>
      </c>
      <c r="G155" s="71">
        <v>1608</v>
      </c>
      <c r="H155" s="71">
        <v>1608</v>
      </c>
      <c r="I155" s="71">
        <v>1608</v>
      </c>
      <c r="J155" s="72"/>
      <c r="K155" s="97">
        <v>1.2321839080459771</v>
      </c>
      <c r="L155" s="97">
        <v>1.23</v>
      </c>
      <c r="M155" s="72"/>
    </row>
    <row r="156" spans="3:16" ht="12.5" outlineLevel="2" x14ac:dyDescent="0.25">
      <c r="C156" s="8" t="s">
        <v>102</v>
      </c>
      <c r="D156" s="75" t="s">
        <v>372</v>
      </c>
      <c r="E156" s="75" t="s">
        <v>539</v>
      </c>
      <c r="G156" s="71">
        <v>6108</v>
      </c>
      <c r="H156" s="71">
        <v>6108</v>
      </c>
      <c r="I156" s="71">
        <v>6108</v>
      </c>
      <c r="J156" s="72"/>
      <c r="K156" s="97">
        <v>1.2074983512547071</v>
      </c>
      <c r="L156" s="97">
        <v>1.204464326913862</v>
      </c>
      <c r="M156" s="72"/>
    </row>
    <row r="157" spans="3:16" ht="12.5" outlineLevel="2" x14ac:dyDescent="0.25">
      <c r="C157" s="8" t="s">
        <v>85</v>
      </c>
      <c r="D157" s="75" t="s">
        <v>289</v>
      </c>
      <c r="E157" s="75" t="s">
        <v>532</v>
      </c>
      <c r="G157" s="89" t="s">
        <v>494</v>
      </c>
      <c r="H157" s="69">
        <v>1.01</v>
      </c>
      <c r="I157" s="69">
        <v>1.01</v>
      </c>
      <c r="J157" s="70"/>
      <c r="K157" s="229">
        <f xml:space="preserve"> H157</f>
        <v>1.01</v>
      </c>
      <c r="L157" s="229">
        <f xml:space="preserve"> I157</f>
        <v>1.01</v>
      </c>
      <c r="M157" s="70"/>
    </row>
    <row r="158" spans="3:16" ht="12.5" outlineLevel="2" x14ac:dyDescent="0.25">
      <c r="C158" s="8" t="s">
        <v>85</v>
      </c>
      <c r="D158" s="75" t="s">
        <v>326</v>
      </c>
      <c r="E158" s="75" t="s">
        <v>540</v>
      </c>
      <c r="G158" s="89" t="s">
        <v>494</v>
      </c>
      <c r="H158" s="71">
        <v>38</v>
      </c>
      <c r="I158" s="71">
        <v>70</v>
      </c>
      <c r="J158" s="72"/>
      <c r="K158" s="97">
        <v>0.69178955033679224</v>
      </c>
      <c r="L158" s="97">
        <v>1.2624896295494716</v>
      </c>
      <c r="M158" s="72"/>
    </row>
    <row r="159" spans="3:16" ht="12.5" outlineLevel="2" x14ac:dyDescent="0.25">
      <c r="C159" s="8" t="s">
        <v>89</v>
      </c>
      <c r="D159" s="75" t="s">
        <v>326</v>
      </c>
      <c r="E159" s="75" t="s">
        <v>540</v>
      </c>
      <c r="G159" s="89" t="s">
        <v>494</v>
      </c>
      <c r="H159" s="71">
        <v>9954</v>
      </c>
      <c r="I159" s="71">
        <v>9922</v>
      </c>
      <c r="J159" s="72"/>
      <c r="K159" s="97">
        <v>1.2956472746728618</v>
      </c>
      <c r="L159" s="97">
        <v>1.2784026486461972</v>
      </c>
      <c r="M159" s="72"/>
    </row>
    <row r="160" spans="3:16" ht="12.5" outlineLevel="2" x14ac:dyDescent="0.25">
      <c r="C160" s="8" t="s">
        <v>89</v>
      </c>
      <c r="D160" s="75" t="s">
        <v>289</v>
      </c>
      <c r="E160" s="75" t="s">
        <v>532</v>
      </c>
      <c r="G160" s="89" t="s">
        <v>494</v>
      </c>
      <c r="H160" s="69">
        <v>1.01</v>
      </c>
      <c r="I160" s="69">
        <v>1.01</v>
      </c>
      <c r="J160" s="70"/>
      <c r="K160" s="229">
        <f xml:space="preserve"> H160</f>
        <v>1.01</v>
      </c>
      <c r="L160" s="229">
        <f xml:space="preserve"> I160</f>
        <v>1.01</v>
      </c>
      <c r="M160" s="70"/>
    </row>
    <row r="161" spans="2:16" outlineLevel="1" x14ac:dyDescent="0.3">
      <c r="K161" s="47"/>
      <c r="L161" s="47"/>
    </row>
    <row r="162" spans="2:16" ht="13.5" outlineLevel="1" x14ac:dyDescent="0.35">
      <c r="B162" s="31" t="s">
        <v>541</v>
      </c>
      <c r="C162" s="31"/>
      <c r="D162" s="31"/>
      <c r="E162" s="31"/>
      <c r="F162" s="31"/>
      <c r="G162" s="31"/>
      <c r="H162" s="31"/>
      <c r="I162" s="31"/>
      <c r="J162" s="31"/>
      <c r="K162" s="404" t="s">
        <v>531</v>
      </c>
      <c r="L162" s="404"/>
      <c r="M162" s="31"/>
    </row>
    <row r="163" spans="2:16" outlineLevel="2" x14ac:dyDescent="0.3">
      <c r="K163" s="47"/>
      <c r="L163" s="47"/>
    </row>
    <row r="164" spans="2:16" ht="12.5" outlineLevel="2" x14ac:dyDescent="0.25">
      <c r="C164" s="8" t="s">
        <v>104</v>
      </c>
      <c r="D164" s="75" t="s">
        <v>278</v>
      </c>
      <c r="E164" s="75" t="s">
        <v>532</v>
      </c>
      <c r="G164" s="69">
        <v>0.27</v>
      </c>
      <c r="H164" s="69">
        <v>0.23</v>
      </c>
      <c r="I164" s="69">
        <v>0.25</v>
      </c>
      <c r="J164" s="70"/>
      <c r="K164" s="229">
        <f xml:space="preserve"> H164</f>
        <v>0.23</v>
      </c>
      <c r="L164" s="229">
        <f xml:space="preserve"> I164</f>
        <v>0.25</v>
      </c>
      <c r="M164" s="70"/>
    </row>
    <row r="165" spans="2:16" ht="12.5" outlineLevel="2" x14ac:dyDescent="0.25">
      <c r="C165" s="8" t="s">
        <v>80</v>
      </c>
      <c r="D165" s="75" t="s">
        <v>279</v>
      </c>
      <c r="E165" s="75" t="s">
        <v>532</v>
      </c>
      <c r="G165" s="69">
        <v>1.23</v>
      </c>
      <c r="H165" s="69">
        <v>1.18</v>
      </c>
      <c r="I165" s="69">
        <v>1.1499999999999999</v>
      </c>
      <c r="J165" s="70"/>
      <c r="K165" s="229">
        <f xml:space="preserve"> H165</f>
        <v>1.18</v>
      </c>
      <c r="L165" s="229">
        <f xml:space="preserve"> I165</f>
        <v>1.1499999999999999</v>
      </c>
      <c r="M165" s="70"/>
    </row>
    <row r="166" spans="2:16" ht="12.5" outlineLevel="2" x14ac:dyDescent="0.25">
      <c r="C166" s="8" t="s">
        <v>106</v>
      </c>
      <c r="D166" s="75" t="s">
        <v>284</v>
      </c>
      <c r="E166" s="75" t="s">
        <v>533</v>
      </c>
      <c r="G166" s="71">
        <v>1711</v>
      </c>
      <c r="H166" s="71">
        <v>1934</v>
      </c>
      <c r="I166" s="71">
        <v>1712</v>
      </c>
      <c r="J166" s="72"/>
      <c r="K166" s="97">
        <v>1.6186999178095491</v>
      </c>
      <c r="L166" s="97">
        <v>1.42</v>
      </c>
      <c r="M166" s="72"/>
    </row>
    <row r="167" spans="2:16" ht="12.5" outlineLevel="2" x14ac:dyDescent="0.25">
      <c r="C167" s="8" t="s">
        <v>87</v>
      </c>
      <c r="D167" s="75" t="s">
        <v>293</v>
      </c>
      <c r="E167" s="75" t="s">
        <v>534</v>
      </c>
      <c r="G167" s="71">
        <v>978</v>
      </c>
      <c r="H167" s="71">
        <v>1060</v>
      </c>
      <c r="I167" s="71">
        <v>862</v>
      </c>
      <c r="J167" s="72"/>
      <c r="K167" s="97">
        <v>0.23375104939887392</v>
      </c>
      <c r="L167" s="97">
        <v>0.19</v>
      </c>
      <c r="M167" s="72"/>
      <c r="O167" s="310"/>
      <c r="P167" s="310"/>
    </row>
    <row r="168" spans="2:16" ht="12.5" outlineLevel="2" x14ac:dyDescent="0.25">
      <c r="C168" s="8" t="s">
        <v>87</v>
      </c>
      <c r="D168" s="75" t="s">
        <v>294</v>
      </c>
      <c r="E168" s="75" t="s">
        <v>534</v>
      </c>
      <c r="G168" s="71">
        <v>2776</v>
      </c>
      <c r="H168" s="71">
        <v>2667</v>
      </c>
      <c r="I168" s="71">
        <v>2492</v>
      </c>
      <c r="J168" s="72"/>
      <c r="K168" s="97">
        <v>0.58812646108188371</v>
      </c>
      <c r="L168" s="97">
        <v>0.55000000000000004</v>
      </c>
      <c r="M168" s="72"/>
      <c r="O168" s="310"/>
      <c r="P168" s="310"/>
    </row>
    <row r="169" spans="2:16" ht="12.5" outlineLevel="2" x14ac:dyDescent="0.25">
      <c r="C169" s="8" t="s">
        <v>108</v>
      </c>
      <c r="D169" s="75" t="s">
        <v>297</v>
      </c>
      <c r="E169" s="75" t="s">
        <v>535</v>
      </c>
      <c r="G169" s="69">
        <v>0.54900000000000004</v>
      </c>
      <c r="H169" s="69">
        <v>0.437</v>
      </c>
      <c r="I169" s="69">
        <v>0.39495798319327702</v>
      </c>
      <c r="J169" s="70"/>
      <c r="K169" s="229">
        <f xml:space="preserve"> H169</f>
        <v>0.437</v>
      </c>
      <c r="L169" s="229">
        <f xml:space="preserve"> I169</f>
        <v>0.39495798319327702</v>
      </c>
      <c r="M169" s="70"/>
    </row>
    <row r="170" spans="2:16" ht="12.5" outlineLevel="2" x14ac:dyDescent="0.25">
      <c r="C170" s="8" t="s">
        <v>116</v>
      </c>
      <c r="D170" s="75" t="s">
        <v>302</v>
      </c>
      <c r="E170" s="75" t="s">
        <v>532</v>
      </c>
      <c r="G170" s="69">
        <v>0.82</v>
      </c>
      <c r="H170" s="69">
        <v>0.71</v>
      </c>
      <c r="I170" s="69">
        <v>1.01</v>
      </c>
      <c r="J170" s="70"/>
      <c r="K170" s="229">
        <f xml:space="preserve"> H170</f>
        <v>0.71</v>
      </c>
      <c r="L170" s="229">
        <f xml:space="preserve"> I170</f>
        <v>1.01</v>
      </c>
      <c r="M170" s="70"/>
    </row>
    <row r="171" spans="2:16" ht="12.5" outlineLevel="2" x14ac:dyDescent="0.25">
      <c r="C171" s="8" t="s">
        <v>110</v>
      </c>
      <c r="D171" s="75" t="s">
        <v>306</v>
      </c>
      <c r="E171" s="75" t="s">
        <v>533</v>
      </c>
      <c r="G171" s="71">
        <v>365</v>
      </c>
      <c r="H171" s="71">
        <v>388</v>
      </c>
      <c r="I171" s="71">
        <v>329</v>
      </c>
      <c r="J171" s="72"/>
      <c r="K171" s="97">
        <v>0.54492029147320131</v>
      </c>
      <c r="L171" s="97">
        <v>0.46205870075949285</v>
      </c>
      <c r="M171" s="70"/>
    </row>
    <row r="172" spans="2:16" ht="12.5" outlineLevel="2" x14ac:dyDescent="0.25">
      <c r="C172" s="8" t="s">
        <v>112</v>
      </c>
      <c r="D172" s="75" t="s">
        <v>311</v>
      </c>
      <c r="E172" s="75" t="s">
        <v>532</v>
      </c>
      <c r="G172" s="69">
        <v>0.82</v>
      </c>
      <c r="H172" s="69">
        <v>0.59</v>
      </c>
      <c r="I172" s="69">
        <v>0.53</v>
      </c>
      <c r="J172" s="70"/>
      <c r="K172" s="229">
        <f t="shared" ref="K172:L175" si="18" xml:space="preserve"> H172</f>
        <v>0.59</v>
      </c>
      <c r="L172" s="229">
        <f t="shared" si="18"/>
        <v>0.53</v>
      </c>
      <c r="M172" s="70"/>
    </row>
    <row r="173" spans="2:16" ht="12.5" outlineLevel="2" x14ac:dyDescent="0.25">
      <c r="C173" s="8" t="s">
        <v>94</v>
      </c>
      <c r="D173" s="75" t="s">
        <v>314</v>
      </c>
      <c r="E173" s="75" t="s">
        <v>532</v>
      </c>
      <c r="G173" s="69">
        <v>0.82</v>
      </c>
      <c r="H173" s="69">
        <v>0.68</v>
      </c>
      <c r="I173" s="69">
        <v>0.67</v>
      </c>
      <c r="J173" s="70"/>
      <c r="K173" s="229">
        <f t="shared" si="18"/>
        <v>0.68</v>
      </c>
      <c r="L173" s="229">
        <f t="shared" si="18"/>
        <v>0.67</v>
      </c>
      <c r="M173" s="70"/>
    </row>
    <row r="174" spans="2:16" ht="12.5" outlineLevel="2" x14ac:dyDescent="0.25">
      <c r="C174" s="8" t="s">
        <v>114</v>
      </c>
      <c r="D174" s="75" t="s">
        <v>322</v>
      </c>
      <c r="E174" s="75" t="s">
        <v>536</v>
      </c>
      <c r="G174" s="69">
        <v>1.4159999999999999</v>
      </c>
      <c r="H174" s="69">
        <v>1.51</v>
      </c>
      <c r="I174" s="69">
        <v>1.19</v>
      </c>
      <c r="J174" s="70"/>
      <c r="K174" s="229">
        <f t="shared" si="18"/>
        <v>1.51</v>
      </c>
      <c r="L174" s="229">
        <f t="shared" si="18"/>
        <v>1.19</v>
      </c>
      <c r="M174" s="70"/>
    </row>
    <row r="175" spans="2:16" ht="12.5" outlineLevel="2" x14ac:dyDescent="0.25">
      <c r="C175" s="8" t="s">
        <v>118</v>
      </c>
      <c r="D175" s="75" t="s">
        <v>334</v>
      </c>
      <c r="E175" s="75" t="s">
        <v>536</v>
      </c>
      <c r="G175" s="69">
        <v>2.2000000000000002</v>
      </c>
      <c r="H175" s="69">
        <v>2.13</v>
      </c>
      <c r="I175" s="69">
        <v>1.9</v>
      </c>
      <c r="J175" s="70"/>
      <c r="K175" s="229">
        <f t="shared" si="18"/>
        <v>2.13</v>
      </c>
      <c r="L175" s="229">
        <f t="shared" si="18"/>
        <v>1.9</v>
      </c>
      <c r="M175" s="70"/>
    </row>
    <row r="176" spans="2:16" ht="12.5" outlineLevel="2" x14ac:dyDescent="0.25">
      <c r="C176" s="8" t="s">
        <v>98</v>
      </c>
      <c r="D176" s="75" t="s">
        <v>351</v>
      </c>
      <c r="E176" s="75" t="s">
        <v>537</v>
      </c>
      <c r="G176" s="71">
        <v>11652</v>
      </c>
      <c r="H176" s="71">
        <v>10923</v>
      </c>
      <c r="I176" s="71">
        <v>10456</v>
      </c>
      <c r="J176" s="72"/>
      <c r="K176" s="97">
        <v>1.5149115393182162</v>
      </c>
      <c r="L176" s="97">
        <v>1.444978864281991</v>
      </c>
      <c r="M176" s="72"/>
    </row>
    <row r="177" spans="2:13" ht="12.5" outlineLevel="2" x14ac:dyDescent="0.25">
      <c r="C177" s="8" t="s">
        <v>82</v>
      </c>
      <c r="D177" s="75" t="s">
        <v>359</v>
      </c>
      <c r="E177" s="75" t="s">
        <v>536</v>
      </c>
      <c r="G177" s="69">
        <v>3.19</v>
      </c>
      <c r="H177" s="69">
        <v>3.28</v>
      </c>
      <c r="I177" s="69">
        <v>2.8</v>
      </c>
      <c r="J177" s="70"/>
      <c r="K177" s="229">
        <f xml:space="preserve"> H177</f>
        <v>3.28</v>
      </c>
      <c r="L177" s="229">
        <f xml:space="preserve"> I177</f>
        <v>2.8</v>
      </c>
      <c r="M177" s="70"/>
    </row>
    <row r="178" spans="2:13" ht="12.5" outlineLevel="2" x14ac:dyDescent="0.25">
      <c r="C178" s="8" t="s">
        <v>100</v>
      </c>
      <c r="D178" s="75" t="s">
        <v>366</v>
      </c>
      <c r="E178" s="75" t="s">
        <v>538</v>
      </c>
      <c r="G178" s="71">
        <v>2031</v>
      </c>
      <c r="H178" s="71">
        <v>2010</v>
      </c>
      <c r="I178" s="71">
        <v>2097</v>
      </c>
      <c r="J178" s="72"/>
      <c r="K178" s="97">
        <v>1.5402298850574712</v>
      </c>
      <c r="L178" s="97">
        <v>1.59</v>
      </c>
      <c r="M178" s="72"/>
    </row>
    <row r="179" spans="2:13" ht="12.5" outlineLevel="2" x14ac:dyDescent="0.25">
      <c r="C179" s="8" t="s">
        <v>102</v>
      </c>
      <c r="D179" s="75" t="s">
        <v>372</v>
      </c>
      <c r="E179" s="75" t="s">
        <v>539</v>
      </c>
      <c r="G179" s="71">
        <v>8100</v>
      </c>
      <c r="H179" s="71">
        <v>7964</v>
      </c>
      <c r="I179" s="71">
        <v>6368</v>
      </c>
      <c r="J179" s="72"/>
      <c r="K179" s="97">
        <v>1.5744133708894053</v>
      </c>
      <c r="L179" s="97">
        <v>1.2557349105742424</v>
      </c>
      <c r="M179" s="72"/>
    </row>
    <row r="180" spans="2:13" ht="12.5" outlineLevel="2" x14ac:dyDescent="0.25">
      <c r="C180" s="8" t="s">
        <v>85</v>
      </c>
      <c r="D180" s="75" t="s">
        <v>289</v>
      </c>
      <c r="E180" s="75" t="s">
        <v>532</v>
      </c>
      <c r="G180" s="89" t="s">
        <v>494</v>
      </c>
      <c r="H180" s="69">
        <v>1.02</v>
      </c>
      <c r="I180" s="69">
        <v>1.32</v>
      </c>
      <c r="J180" s="70"/>
      <c r="K180" s="229">
        <f xml:space="preserve"> H180</f>
        <v>1.02</v>
      </c>
      <c r="L180" s="229">
        <f xml:space="preserve"> I180</f>
        <v>1.32</v>
      </c>
      <c r="M180" s="70"/>
    </row>
    <row r="181" spans="2:13" ht="12.5" outlineLevel="2" x14ac:dyDescent="0.25">
      <c r="C181" s="8" t="s">
        <v>85</v>
      </c>
      <c r="D181" s="75" t="s">
        <v>326</v>
      </c>
      <c r="E181" s="75" t="s">
        <v>540</v>
      </c>
      <c r="G181" s="89" t="s">
        <v>494</v>
      </c>
      <c r="H181" s="71">
        <v>67</v>
      </c>
      <c r="I181" s="71">
        <v>124</v>
      </c>
      <c r="J181" s="72"/>
      <c r="K181" s="97">
        <v>1.2197342071727653</v>
      </c>
      <c r="L181" s="97">
        <v>2.236410200916207</v>
      </c>
      <c r="M181" s="72"/>
    </row>
    <row r="182" spans="2:13" ht="12.5" outlineLevel="2" x14ac:dyDescent="0.25">
      <c r="C182" s="8" t="s">
        <v>89</v>
      </c>
      <c r="D182" s="75" t="s">
        <v>326</v>
      </c>
      <c r="E182" s="75" t="s">
        <v>540</v>
      </c>
      <c r="G182" s="89" t="s">
        <v>494</v>
      </c>
      <c r="H182" s="71">
        <v>11856</v>
      </c>
      <c r="I182" s="71">
        <v>10181</v>
      </c>
      <c r="J182" s="72"/>
      <c r="K182" s="97">
        <v>1.5432182126302441</v>
      </c>
      <c r="L182" s="97">
        <v>1.3117735704360949</v>
      </c>
      <c r="M182" s="72"/>
    </row>
    <row r="183" spans="2:13" ht="12.5" outlineLevel="2" x14ac:dyDescent="0.25">
      <c r="C183" s="8" t="s">
        <v>89</v>
      </c>
      <c r="D183" s="75" t="s">
        <v>289</v>
      </c>
      <c r="E183" s="75" t="s">
        <v>532</v>
      </c>
      <c r="G183" s="89" t="s">
        <v>494</v>
      </c>
      <c r="H183" s="69">
        <v>0.45</v>
      </c>
      <c r="I183" s="69">
        <v>1.17</v>
      </c>
      <c r="J183" s="70"/>
      <c r="K183" s="229">
        <f xml:space="preserve"> H183</f>
        <v>0.45</v>
      </c>
      <c r="L183" s="229">
        <f xml:space="preserve"> I183</f>
        <v>1.17</v>
      </c>
      <c r="M183" s="70"/>
    </row>
    <row r="184" spans="2:13" x14ac:dyDescent="0.3">
      <c r="K184" s="47"/>
      <c r="L184" s="47"/>
    </row>
    <row r="185" spans="2:13" ht="13.5" x14ac:dyDescent="0.35">
      <c r="B185" s="9" t="s">
        <v>166</v>
      </c>
      <c r="C185" s="9"/>
      <c r="D185" s="10"/>
      <c r="E185" s="10"/>
      <c r="F185" s="9"/>
      <c r="G185" s="9"/>
      <c r="H185" s="9"/>
      <c r="I185" s="9"/>
      <c r="J185" s="9"/>
      <c r="K185" s="56"/>
      <c r="L185" s="56"/>
      <c r="M185" s="9"/>
    </row>
    <row r="186" spans="2:13" outlineLevel="1" x14ac:dyDescent="0.3">
      <c r="K186" s="47"/>
      <c r="L186" s="47"/>
    </row>
    <row r="187" spans="2:13" ht="13.5" outlineLevel="1" x14ac:dyDescent="0.35">
      <c r="B187" s="31" t="s">
        <v>542</v>
      </c>
      <c r="C187" s="31"/>
      <c r="D187" s="31"/>
      <c r="E187" s="31"/>
      <c r="F187" s="31"/>
      <c r="G187" s="31"/>
      <c r="H187" s="31"/>
      <c r="I187" s="31"/>
      <c r="J187" s="31"/>
      <c r="K187" s="404" t="s">
        <v>142</v>
      </c>
      <c r="L187" s="404"/>
      <c r="M187" s="31"/>
    </row>
    <row r="188" spans="2:13" outlineLevel="2" x14ac:dyDescent="0.3">
      <c r="K188" s="47"/>
      <c r="L188" s="47"/>
    </row>
    <row r="189" spans="2:13" ht="12.5" outlineLevel="2" x14ac:dyDescent="0.25">
      <c r="C189" s="8" t="s">
        <v>80</v>
      </c>
      <c r="D189" s="75" t="s">
        <v>253</v>
      </c>
      <c r="E189" s="75" t="s">
        <v>254</v>
      </c>
      <c r="G189" s="89" t="s">
        <v>494</v>
      </c>
      <c r="H189" s="89" t="s">
        <v>494</v>
      </c>
      <c r="I189" s="71">
        <v>448</v>
      </c>
      <c r="J189" s="72"/>
      <c r="K189" s="230" t="str">
        <f>H189</f>
        <v>-</v>
      </c>
      <c r="L189" s="230">
        <f t="shared" ref="L189:L201" si="19">I189</f>
        <v>448</v>
      </c>
      <c r="M189" s="72"/>
    </row>
    <row r="190" spans="2:13" ht="12.5" outlineLevel="2" x14ac:dyDescent="0.25">
      <c r="C190" s="8" t="s">
        <v>87</v>
      </c>
      <c r="D190" s="75" t="s">
        <v>257</v>
      </c>
      <c r="E190" s="75" t="s">
        <v>543</v>
      </c>
      <c r="G190" s="71">
        <v>186</v>
      </c>
      <c r="H190" s="71">
        <v>186</v>
      </c>
      <c r="I190" s="71">
        <v>186</v>
      </c>
      <c r="J190" s="72"/>
      <c r="K190" s="230">
        <f>H190</f>
        <v>186</v>
      </c>
      <c r="L190" s="230">
        <f>I190</f>
        <v>186</v>
      </c>
      <c r="M190" s="72"/>
    </row>
    <row r="191" spans="2:13" ht="12.5" outlineLevel="2" x14ac:dyDescent="0.25">
      <c r="C191" s="8" t="s">
        <v>87</v>
      </c>
      <c r="D191" s="75" t="s">
        <v>255</v>
      </c>
      <c r="E191" s="75" t="s">
        <v>256</v>
      </c>
      <c r="G191" s="71">
        <v>228</v>
      </c>
      <c r="H191" s="71">
        <v>228</v>
      </c>
      <c r="I191" s="71">
        <v>228</v>
      </c>
      <c r="J191" s="72"/>
      <c r="K191" s="230">
        <f t="shared" ref="K191:K201" si="20">H191</f>
        <v>228</v>
      </c>
      <c r="L191" s="230">
        <f t="shared" si="19"/>
        <v>228</v>
      </c>
      <c r="M191" s="72"/>
    </row>
    <row r="192" spans="2:13" ht="12.5" outlineLevel="2" x14ac:dyDescent="0.25">
      <c r="C192" s="8" t="s">
        <v>94</v>
      </c>
      <c r="D192" s="75" t="s">
        <v>258</v>
      </c>
      <c r="E192" s="75" t="s">
        <v>259</v>
      </c>
      <c r="G192" s="71">
        <v>414</v>
      </c>
      <c r="H192" s="71">
        <v>392</v>
      </c>
      <c r="I192" s="71">
        <v>382</v>
      </c>
      <c r="J192" s="72"/>
      <c r="K192" s="230">
        <f t="shared" si="20"/>
        <v>392</v>
      </c>
      <c r="L192" s="230">
        <f t="shared" si="19"/>
        <v>382</v>
      </c>
      <c r="M192" s="72"/>
    </row>
    <row r="193" spans="2:13" ht="12.5" outlineLevel="2" x14ac:dyDescent="0.25">
      <c r="C193" s="8" t="s">
        <v>118</v>
      </c>
      <c r="D193" s="75" t="s">
        <v>261</v>
      </c>
      <c r="E193" s="75" t="s">
        <v>259</v>
      </c>
      <c r="G193" s="71">
        <v>144</v>
      </c>
      <c r="H193" s="71">
        <v>139</v>
      </c>
      <c r="I193" s="71">
        <v>135</v>
      </c>
      <c r="J193" s="72"/>
      <c r="K193" s="230">
        <f t="shared" si="20"/>
        <v>139</v>
      </c>
      <c r="L193" s="230">
        <f t="shared" si="19"/>
        <v>135</v>
      </c>
      <c r="M193" s="72"/>
    </row>
    <row r="194" spans="2:13" ht="12.5" outlineLevel="2" x14ac:dyDescent="0.25">
      <c r="C194" s="8" t="s">
        <v>96</v>
      </c>
      <c r="D194" s="75" t="s">
        <v>262</v>
      </c>
      <c r="E194" s="75" t="s">
        <v>263</v>
      </c>
      <c r="G194" s="71">
        <v>1085</v>
      </c>
      <c r="H194" s="71">
        <v>1085</v>
      </c>
      <c r="I194" s="71">
        <v>1085</v>
      </c>
      <c r="J194" s="72"/>
      <c r="K194" s="230">
        <f t="shared" si="20"/>
        <v>1085</v>
      </c>
      <c r="L194" s="230">
        <f t="shared" si="19"/>
        <v>1085</v>
      </c>
      <c r="M194" s="72"/>
    </row>
    <row r="195" spans="2:13" ht="12.5" outlineLevel="2" x14ac:dyDescent="0.25">
      <c r="C195" s="8" t="s">
        <v>98</v>
      </c>
      <c r="D195" s="75" t="s">
        <v>264</v>
      </c>
      <c r="E195" s="75" t="s">
        <v>265</v>
      </c>
      <c r="G195" s="71">
        <v>375</v>
      </c>
      <c r="H195" s="71">
        <v>375</v>
      </c>
      <c r="I195" s="71">
        <v>375</v>
      </c>
      <c r="J195" s="72"/>
      <c r="K195" s="230">
        <f t="shared" si="20"/>
        <v>375</v>
      </c>
      <c r="L195" s="230">
        <f t="shared" si="19"/>
        <v>375</v>
      </c>
      <c r="M195" s="72"/>
    </row>
    <row r="196" spans="2:13" ht="12.5" outlineLevel="2" x14ac:dyDescent="0.25">
      <c r="C196" s="8" t="s">
        <v>98</v>
      </c>
      <c r="D196" s="75" t="s">
        <v>264</v>
      </c>
      <c r="E196" s="75" t="s">
        <v>266</v>
      </c>
      <c r="G196" s="71">
        <v>55</v>
      </c>
      <c r="H196" s="71">
        <v>55</v>
      </c>
      <c r="I196" s="71">
        <v>55</v>
      </c>
      <c r="J196" s="72"/>
      <c r="K196" s="230">
        <f t="shared" si="20"/>
        <v>55</v>
      </c>
      <c r="L196" s="230">
        <f t="shared" si="19"/>
        <v>55</v>
      </c>
      <c r="M196" s="72"/>
    </row>
    <row r="197" spans="2:13" ht="12.5" outlineLevel="2" x14ac:dyDescent="0.25">
      <c r="C197" s="8" t="s">
        <v>82</v>
      </c>
      <c r="D197" s="75" t="s">
        <v>267</v>
      </c>
      <c r="E197" s="75" t="s">
        <v>268</v>
      </c>
      <c r="G197" s="71">
        <v>292</v>
      </c>
      <c r="H197" s="71">
        <v>282</v>
      </c>
      <c r="I197" s="71">
        <v>269</v>
      </c>
      <c r="J197" s="72"/>
      <c r="K197" s="230">
        <f t="shared" si="20"/>
        <v>282</v>
      </c>
      <c r="L197" s="230">
        <f t="shared" si="19"/>
        <v>269</v>
      </c>
      <c r="M197" s="72"/>
    </row>
    <row r="198" spans="2:13" ht="12.5" outlineLevel="2" x14ac:dyDescent="0.25">
      <c r="C198" s="8" t="s">
        <v>100</v>
      </c>
      <c r="D198" s="75" t="s">
        <v>269</v>
      </c>
      <c r="E198" s="75" t="s">
        <v>270</v>
      </c>
      <c r="G198" s="69">
        <v>1.7</v>
      </c>
      <c r="H198" s="69">
        <v>1.68</v>
      </c>
      <c r="I198" s="69">
        <v>1.66</v>
      </c>
      <c r="J198" s="72"/>
      <c r="K198" s="98">
        <v>210</v>
      </c>
      <c r="L198" s="98">
        <v>209</v>
      </c>
      <c r="M198" s="72"/>
    </row>
    <row r="199" spans="2:13" ht="12.5" outlineLevel="2" x14ac:dyDescent="0.25">
      <c r="C199" s="8" t="s">
        <v>102</v>
      </c>
      <c r="D199" s="75" t="s">
        <v>271</v>
      </c>
      <c r="E199" s="75" t="s">
        <v>259</v>
      </c>
      <c r="G199" s="71">
        <v>1919</v>
      </c>
      <c r="H199" s="71">
        <v>1919</v>
      </c>
      <c r="I199" s="71">
        <v>1919</v>
      </c>
      <c r="J199" s="72"/>
      <c r="K199" s="230">
        <f t="shared" si="20"/>
        <v>1919</v>
      </c>
      <c r="L199" s="230">
        <f t="shared" si="19"/>
        <v>1919</v>
      </c>
      <c r="M199" s="72"/>
    </row>
    <row r="200" spans="2:13" ht="12.5" outlineLevel="2" x14ac:dyDescent="0.25">
      <c r="C200" s="8" t="s">
        <v>85</v>
      </c>
      <c r="D200" s="75" t="s">
        <v>260</v>
      </c>
      <c r="E200" s="75" t="s">
        <v>259</v>
      </c>
      <c r="G200" s="89" t="s">
        <v>494</v>
      </c>
      <c r="H200" s="71">
        <v>5</v>
      </c>
      <c r="I200" s="71">
        <v>7</v>
      </c>
      <c r="J200" s="72"/>
      <c r="K200" s="230">
        <f t="shared" si="20"/>
        <v>5</v>
      </c>
      <c r="L200" s="230">
        <f t="shared" si="19"/>
        <v>7</v>
      </c>
      <c r="M200" s="72"/>
    </row>
    <row r="201" spans="2:13" ht="12.5" outlineLevel="2" x14ac:dyDescent="0.25">
      <c r="C201" s="8" t="s">
        <v>89</v>
      </c>
      <c r="D201" s="75" t="s">
        <v>260</v>
      </c>
      <c r="E201" s="75" t="s">
        <v>259</v>
      </c>
      <c r="G201" s="89" t="s">
        <v>494</v>
      </c>
      <c r="H201" s="71">
        <v>868</v>
      </c>
      <c r="I201" s="71">
        <v>657</v>
      </c>
      <c r="J201" s="72"/>
      <c r="K201" s="230">
        <f t="shared" si="20"/>
        <v>868</v>
      </c>
      <c r="L201" s="230">
        <f t="shared" si="19"/>
        <v>657</v>
      </c>
      <c r="M201" s="72"/>
    </row>
    <row r="202" spans="2:13" outlineLevel="1" x14ac:dyDescent="0.3">
      <c r="K202" s="99"/>
      <c r="L202" s="99"/>
    </row>
    <row r="203" spans="2:13" ht="13.5" outlineLevel="1" x14ac:dyDescent="0.35">
      <c r="B203" s="31" t="s">
        <v>544</v>
      </c>
      <c r="C203" s="31"/>
      <c r="D203" s="31"/>
      <c r="E203" s="31"/>
      <c r="F203" s="31"/>
      <c r="G203" s="31"/>
      <c r="H203" s="31"/>
      <c r="I203" s="31"/>
      <c r="J203" s="31"/>
      <c r="K203" s="404" t="s">
        <v>142</v>
      </c>
      <c r="L203" s="404"/>
      <c r="M203" s="31"/>
    </row>
    <row r="204" spans="2:13" outlineLevel="2" x14ac:dyDescent="0.3">
      <c r="K204" s="99"/>
      <c r="L204" s="99"/>
    </row>
    <row r="205" spans="2:13" ht="12.5" outlineLevel="2" x14ac:dyDescent="0.25">
      <c r="C205" s="8" t="s">
        <v>80</v>
      </c>
      <c r="D205" s="75" t="s">
        <v>253</v>
      </c>
      <c r="E205" s="75" t="s">
        <v>254</v>
      </c>
      <c r="G205" s="89" t="s">
        <v>494</v>
      </c>
      <c r="H205" s="89" t="s">
        <v>494</v>
      </c>
      <c r="I205" s="71">
        <v>296</v>
      </c>
      <c r="J205" s="72"/>
      <c r="K205" s="230" t="str">
        <f t="shared" ref="K205:K217" si="21">H205</f>
        <v>-</v>
      </c>
      <c r="L205" s="230">
        <f t="shared" ref="L205:L217" si="22">I205</f>
        <v>296</v>
      </c>
      <c r="M205" s="72"/>
    </row>
    <row r="206" spans="2:13" ht="12.5" outlineLevel="2" x14ac:dyDescent="0.25">
      <c r="C206" s="8" t="s">
        <v>87</v>
      </c>
      <c r="D206" s="75" t="s">
        <v>257</v>
      </c>
      <c r="E206" s="75" t="s">
        <v>543</v>
      </c>
      <c r="G206" s="71">
        <v>96</v>
      </c>
      <c r="H206" s="71">
        <v>124</v>
      </c>
      <c r="I206" s="71">
        <v>139</v>
      </c>
      <c r="J206" s="72"/>
      <c r="K206" s="230">
        <f>H206</f>
        <v>124</v>
      </c>
      <c r="L206" s="230">
        <f>I206</f>
        <v>139</v>
      </c>
      <c r="M206" s="72"/>
    </row>
    <row r="207" spans="2:13" ht="12.5" outlineLevel="2" x14ac:dyDescent="0.25">
      <c r="C207" s="8" t="s">
        <v>87</v>
      </c>
      <c r="D207" s="75" t="s">
        <v>255</v>
      </c>
      <c r="E207" s="75" t="s">
        <v>256</v>
      </c>
      <c r="G207" s="71">
        <v>199</v>
      </c>
      <c r="H207" s="71">
        <v>246</v>
      </c>
      <c r="I207" s="71">
        <v>205</v>
      </c>
      <c r="J207" s="72"/>
      <c r="K207" s="230">
        <f t="shared" si="21"/>
        <v>246</v>
      </c>
      <c r="L207" s="230">
        <f t="shared" si="22"/>
        <v>205</v>
      </c>
      <c r="M207" s="72"/>
    </row>
    <row r="208" spans="2:13" ht="12.5" outlineLevel="2" x14ac:dyDescent="0.25">
      <c r="C208" s="8" t="s">
        <v>94</v>
      </c>
      <c r="D208" s="75" t="s">
        <v>258</v>
      </c>
      <c r="E208" s="75" t="s">
        <v>259</v>
      </c>
      <c r="G208" s="71">
        <v>401</v>
      </c>
      <c r="H208" s="71">
        <v>389</v>
      </c>
      <c r="I208" s="71">
        <v>453</v>
      </c>
      <c r="J208" s="72"/>
      <c r="K208" s="230">
        <f t="shared" si="21"/>
        <v>389</v>
      </c>
      <c r="L208" s="230">
        <f t="shared" si="22"/>
        <v>453</v>
      </c>
      <c r="M208" s="72"/>
    </row>
    <row r="209" spans="2:13" ht="12.5" outlineLevel="2" x14ac:dyDescent="0.25">
      <c r="C209" s="8" t="s">
        <v>118</v>
      </c>
      <c r="D209" s="75" t="s">
        <v>261</v>
      </c>
      <c r="E209" s="75" t="s">
        <v>259</v>
      </c>
      <c r="G209" s="71">
        <v>141</v>
      </c>
      <c r="H209" s="71">
        <v>93</v>
      </c>
      <c r="I209" s="71">
        <v>160</v>
      </c>
      <c r="J209" s="72"/>
      <c r="K209" s="230">
        <f t="shared" si="21"/>
        <v>93</v>
      </c>
      <c r="L209" s="230">
        <f t="shared" si="22"/>
        <v>160</v>
      </c>
      <c r="M209" s="72"/>
    </row>
    <row r="210" spans="2:13" ht="12.5" outlineLevel="2" x14ac:dyDescent="0.25">
      <c r="C210" s="8" t="s">
        <v>96</v>
      </c>
      <c r="D210" s="75" t="s">
        <v>262</v>
      </c>
      <c r="E210" s="75" t="s">
        <v>263</v>
      </c>
      <c r="G210" s="71">
        <v>1062</v>
      </c>
      <c r="H210" s="71">
        <v>1032</v>
      </c>
      <c r="I210" s="71">
        <v>1058</v>
      </c>
      <c r="J210" s="72"/>
      <c r="K210" s="230">
        <f t="shared" si="21"/>
        <v>1032</v>
      </c>
      <c r="L210" s="230">
        <f t="shared" si="22"/>
        <v>1058</v>
      </c>
      <c r="M210" s="72"/>
    </row>
    <row r="211" spans="2:13" ht="12.5" outlineLevel="2" x14ac:dyDescent="0.25">
      <c r="C211" s="8" t="s">
        <v>98</v>
      </c>
      <c r="D211" s="75" t="s">
        <v>264</v>
      </c>
      <c r="E211" s="75" t="s">
        <v>265</v>
      </c>
      <c r="G211" s="71">
        <v>559</v>
      </c>
      <c r="H211" s="71">
        <v>551</v>
      </c>
      <c r="I211" s="71">
        <v>611</v>
      </c>
      <c r="J211" s="72"/>
      <c r="K211" s="230">
        <f t="shared" si="21"/>
        <v>551</v>
      </c>
      <c r="L211" s="230">
        <f t="shared" si="22"/>
        <v>611</v>
      </c>
      <c r="M211" s="72"/>
    </row>
    <row r="212" spans="2:13" ht="12.5" outlineLevel="2" x14ac:dyDescent="0.25">
      <c r="C212" s="8" t="s">
        <v>98</v>
      </c>
      <c r="D212" s="75" t="s">
        <v>264</v>
      </c>
      <c r="E212" s="75" t="s">
        <v>266</v>
      </c>
      <c r="G212" s="71">
        <v>91</v>
      </c>
      <c r="H212" s="71">
        <v>15</v>
      </c>
      <c r="I212" s="71">
        <v>163</v>
      </c>
      <c r="J212" s="72"/>
      <c r="K212" s="230">
        <f t="shared" si="21"/>
        <v>15</v>
      </c>
      <c r="L212" s="230">
        <f t="shared" si="22"/>
        <v>163</v>
      </c>
      <c r="M212" s="72"/>
    </row>
    <row r="213" spans="2:13" ht="12.5" outlineLevel="2" x14ac:dyDescent="0.25">
      <c r="C213" s="8" t="s">
        <v>82</v>
      </c>
      <c r="D213" s="75" t="s">
        <v>267</v>
      </c>
      <c r="E213" s="75" t="s">
        <v>268</v>
      </c>
      <c r="G213" s="71">
        <v>221</v>
      </c>
      <c r="H213" s="71">
        <v>221</v>
      </c>
      <c r="I213" s="71">
        <v>216</v>
      </c>
      <c r="J213" s="72"/>
      <c r="K213" s="230">
        <f t="shared" si="21"/>
        <v>221</v>
      </c>
      <c r="L213" s="230">
        <f t="shared" si="22"/>
        <v>216</v>
      </c>
      <c r="M213" s="72"/>
    </row>
    <row r="214" spans="2:13" ht="12.5" outlineLevel="2" x14ac:dyDescent="0.25">
      <c r="C214" s="8" t="s">
        <v>100</v>
      </c>
      <c r="D214" s="75" t="s">
        <v>269</v>
      </c>
      <c r="E214" s="75" t="s">
        <v>270</v>
      </c>
      <c r="G214" s="69">
        <v>1.21</v>
      </c>
      <c r="H214" s="69">
        <v>1.43</v>
      </c>
      <c r="I214" s="69">
        <v>1.1599999999999999</v>
      </c>
      <c r="J214" s="72"/>
      <c r="K214" s="98">
        <v>179</v>
      </c>
      <c r="L214" s="98">
        <v>146</v>
      </c>
      <c r="M214" s="72"/>
    </row>
    <row r="215" spans="2:13" ht="12.5" outlineLevel="2" x14ac:dyDescent="0.25">
      <c r="C215" s="8" t="s">
        <v>102</v>
      </c>
      <c r="D215" s="75" t="s">
        <v>271</v>
      </c>
      <c r="E215" s="75" t="s">
        <v>259</v>
      </c>
      <c r="G215" s="71">
        <v>1682</v>
      </c>
      <c r="H215" s="71">
        <v>1692</v>
      </c>
      <c r="I215" s="71">
        <v>1602</v>
      </c>
      <c r="J215" s="72"/>
      <c r="K215" s="230">
        <f t="shared" si="21"/>
        <v>1692</v>
      </c>
      <c r="L215" s="230">
        <f t="shared" si="22"/>
        <v>1602</v>
      </c>
      <c r="M215" s="72"/>
    </row>
    <row r="216" spans="2:13" ht="12.5" outlineLevel="2" x14ac:dyDescent="0.25">
      <c r="C216" s="8" t="s">
        <v>85</v>
      </c>
      <c r="D216" s="75" t="s">
        <v>260</v>
      </c>
      <c r="E216" s="75" t="s">
        <v>259</v>
      </c>
      <c r="G216" s="89" t="s">
        <v>494</v>
      </c>
      <c r="H216" s="71">
        <v>4</v>
      </c>
      <c r="I216" s="71">
        <v>10</v>
      </c>
      <c r="J216" s="72"/>
      <c r="K216" s="230">
        <f t="shared" si="21"/>
        <v>4</v>
      </c>
      <c r="L216" s="230">
        <f t="shared" si="22"/>
        <v>10</v>
      </c>
      <c r="M216" s="72"/>
    </row>
    <row r="217" spans="2:13" ht="12.5" outlineLevel="2" x14ac:dyDescent="0.25">
      <c r="C217" s="8" t="s">
        <v>89</v>
      </c>
      <c r="D217" s="75" t="s">
        <v>260</v>
      </c>
      <c r="E217" s="75" t="s">
        <v>259</v>
      </c>
      <c r="G217" s="89" t="s">
        <v>494</v>
      </c>
      <c r="H217" s="71">
        <v>725</v>
      </c>
      <c r="I217" s="71">
        <v>926</v>
      </c>
      <c r="J217" s="72"/>
      <c r="K217" s="230">
        <f t="shared" si="21"/>
        <v>725</v>
      </c>
      <c r="L217" s="230">
        <f t="shared" si="22"/>
        <v>926</v>
      </c>
      <c r="M217" s="72"/>
    </row>
    <row r="218" spans="2:13" x14ac:dyDescent="0.3">
      <c r="K218" s="47"/>
      <c r="L218" s="47"/>
    </row>
    <row r="219" spans="2:13" ht="13.5" x14ac:dyDescent="0.35">
      <c r="B219" s="9" t="s">
        <v>167</v>
      </c>
      <c r="C219" s="9"/>
      <c r="D219" s="10"/>
      <c r="E219" s="10"/>
      <c r="F219" s="9"/>
      <c r="G219" s="9"/>
      <c r="H219" s="9"/>
      <c r="I219" s="9"/>
      <c r="J219" s="9"/>
      <c r="K219" s="56"/>
      <c r="L219" s="56"/>
      <c r="M219" s="9"/>
    </row>
    <row r="220" spans="2:13" outlineLevel="1" x14ac:dyDescent="0.3">
      <c r="K220" s="47"/>
      <c r="L220" s="47"/>
    </row>
    <row r="221" spans="2:13" ht="13.5" outlineLevel="1" x14ac:dyDescent="0.35">
      <c r="B221" s="31" t="s">
        <v>545</v>
      </c>
      <c r="C221" s="31"/>
      <c r="D221" s="31"/>
      <c r="E221" s="31"/>
      <c r="F221" s="31"/>
      <c r="G221" s="31"/>
      <c r="H221" s="31"/>
      <c r="I221" s="31"/>
      <c r="J221" s="31"/>
      <c r="K221" s="404" t="s">
        <v>142</v>
      </c>
      <c r="L221" s="404"/>
      <c r="M221" s="31"/>
    </row>
    <row r="222" spans="2:13" outlineLevel="2" x14ac:dyDescent="0.3">
      <c r="K222" s="47"/>
      <c r="L222" s="47"/>
    </row>
    <row r="223" spans="2:13" ht="12.5" outlineLevel="2" x14ac:dyDescent="0.25">
      <c r="C223" s="8" t="s">
        <v>80</v>
      </c>
      <c r="D223" s="75" t="s">
        <v>283</v>
      </c>
      <c r="E223" s="75" t="s">
        <v>546</v>
      </c>
      <c r="G223" s="68">
        <v>298</v>
      </c>
      <c r="H223" s="68">
        <v>298</v>
      </c>
      <c r="I223" s="68">
        <v>298</v>
      </c>
      <c r="K223" s="230">
        <f t="shared" ref="K223:K238" si="23">H223</f>
        <v>298</v>
      </c>
      <c r="L223" s="230">
        <f t="shared" ref="L223:L238" si="24">I223</f>
        <v>298</v>
      </c>
    </row>
    <row r="224" spans="2:13" ht="12.5" outlineLevel="2" x14ac:dyDescent="0.25">
      <c r="C224" s="8" t="s">
        <v>87</v>
      </c>
      <c r="D224" s="75" t="s">
        <v>295</v>
      </c>
      <c r="E224" s="75" t="s">
        <v>546</v>
      </c>
      <c r="G224" s="68">
        <v>115</v>
      </c>
      <c r="H224" s="68">
        <v>115</v>
      </c>
      <c r="I224" s="68">
        <v>115</v>
      </c>
      <c r="K224" s="230">
        <f t="shared" si="23"/>
        <v>115</v>
      </c>
      <c r="L224" s="230">
        <f t="shared" si="24"/>
        <v>115</v>
      </c>
    </row>
    <row r="225" spans="2:13" ht="12.5" outlineLevel="2" x14ac:dyDescent="0.25">
      <c r="C225" s="8" t="s">
        <v>94</v>
      </c>
      <c r="D225" s="75" t="s">
        <v>316</v>
      </c>
      <c r="E225" s="75" t="s">
        <v>546</v>
      </c>
      <c r="G225" s="68">
        <v>158</v>
      </c>
      <c r="H225" s="68">
        <v>158</v>
      </c>
      <c r="I225" s="68">
        <v>158</v>
      </c>
      <c r="K225" s="230">
        <f t="shared" si="23"/>
        <v>158</v>
      </c>
      <c r="L225" s="230">
        <f t="shared" si="24"/>
        <v>158</v>
      </c>
    </row>
    <row r="226" spans="2:13" ht="12.5" outlineLevel="2" x14ac:dyDescent="0.25">
      <c r="C226" s="8" t="s">
        <v>94</v>
      </c>
      <c r="D226" s="75" t="s">
        <v>321</v>
      </c>
      <c r="E226" s="75" t="s">
        <v>548</v>
      </c>
      <c r="G226" s="68">
        <v>4</v>
      </c>
      <c r="H226" s="68">
        <v>2</v>
      </c>
      <c r="I226" s="68">
        <v>0</v>
      </c>
      <c r="K226" s="230">
        <f t="shared" si="23"/>
        <v>2</v>
      </c>
      <c r="L226" s="230">
        <f t="shared" si="24"/>
        <v>0</v>
      </c>
    </row>
    <row r="227" spans="2:13" ht="12.5" outlineLevel="2" x14ac:dyDescent="0.25">
      <c r="C227" s="8" t="s">
        <v>118</v>
      </c>
      <c r="D227" s="75" t="s">
        <v>339</v>
      </c>
      <c r="E227" s="75" t="s">
        <v>549</v>
      </c>
      <c r="G227" s="68">
        <v>218</v>
      </c>
      <c r="H227" s="68">
        <v>208</v>
      </c>
      <c r="I227" s="68">
        <v>198</v>
      </c>
      <c r="K227" s="230">
        <f>H227</f>
        <v>208</v>
      </c>
      <c r="L227" s="230">
        <f>I227</f>
        <v>198</v>
      </c>
    </row>
    <row r="228" spans="2:13" ht="12.5" outlineLevel="2" x14ac:dyDescent="0.25">
      <c r="C228" s="8" t="s">
        <v>118</v>
      </c>
      <c r="D228" s="75" t="s">
        <v>338</v>
      </c>
      <c r="E228" s="75" t="s">
        <v>548</v>
      </c>
      <c r="G228" s="68">
        <v>0</v>
      </c>
      <c r="H228" s="67">
        <v>0</v>
      </c>
      <c r="I228" s="67">
        <v>0</v>
      </c>
      <c r="K228" s="230">
        <f t="shared" si="23"/>
        <v>0</v>
      </c>
      <c r="L228" s="230">
        <f t="shared" si="24"/>
        <v>0</v>
      </c>
    </row>
    <row r="229" spans="2:13" ht="12.5" outlineLevel="2" x14ac:dyDescent="0.25">
      <c r="C229" s="8" t="s">
        <v>96</v>
      </c>
      <c r="D229" s="75" t="s">
        <v>348</v>
      </c>
      <c r="E229" s="75" t="s">
        <v>547</v>
      </c>
      <c r="G229" s="68">
        <v>340</v>
      </c>
      <c r="H229" s="68">
        <v>340</v>
      </c>
      <c r="I229" s="68">
        <v>340</v>
      </c>
      <c r="K229" s="230">
        <f t="shared" si="23"/>
        <v>340</v>
      </c>
      <c r="L229" s="230">
        <f t="shared" si="24"/>
        <v>340</v>
      </c>
    </row>
    <row r="230" spans="2:13" ht="12.5" outlineLevel="2" x14ac:dyDescent="0.25">
      <c r="C230" s="8" t="s">
        <v>98</v>
      </c>
      <c r="D230" s="75" t="s">
        <v>357</v>
      </c>
      <c r="E230" s="75" t="s">
        <v>546</v>
      </c>
      <c r="G230" s="68">
        <v>198</v>
      </c>
      <c r="H230" s="68">
        <v>195</v>
      </c>
      <c r="I230" s="68">
        <v>191</v>
      </c>
      <c r="K230" s="230">
        <f>H230</f>
        <v>195</v>
      </c>
      <c r="L230" s="230">
        <f>I230</f>
        <v>191</v>
      </c>
    </row>
    <row r="231" spans="2:13" ht="12.5" outlineLevel="2" x14ac:dyDescent="0.25">
      <c r="C231" s="8" t="s">
        <v>98</v>
      </c>
      <c r="D231" s="75" t="s">
        <v>356</v>
      </c>
      <c r="E231" s="75" t="s">
        <v>548</v>
      </c>
      <c r="G231" s="68">
        <v>3</v>
      </c>
      <c r="H231" s="68">
        <v>3</v>
      </c>
      <c r="I231" s="68">
        <v>0</v>
      </c>
      <c r="K231" s="230">
        <f t="shared" si="23"/>
        <v>3</v>
      </c>
      <c r="L231" s="230">
        <f t="shared" si="24"/>
        <v>0</v>
      </c>
    </row>
    <row r="232" spans="2:13" ht="12.5" outlineLevel="2" x14ac:dyDescent="0.25">
      <c r="C232" s="8" t="s">
        <v>82</v>
      </c>
      <c r="D232" s="75" t="s">
        <v>362</v>
      </c>
      <c r="E232" s="75" t="s">
        <v>546</v>
      </c>
      <c r="G232" s="68">
        <v>131</v>
      </c>
      <c r="H232" s="68">
        <v>131</v>
      </c>
      <c r="I232" s="68">
        <v>131</v>
      </c>
      <c r="K232" s="230">
        <f t="shared" si="23"/>
        <v>131</v>
      </c>
      <c r="L232" s="230">
        <f t="shared" si="24"/>
        <v>131</v>
      </c>
    </row>
    <row r="233" spans="2:13" ht="12.5" outlineLevel="2" x14ac:dyDescent="0.25">
      <c r="C233" s="8" t="s">
        <v>102</v>
      </c>
      <c r="D233" s="75" t="s">
        <v>379</v>
      </c>
      <c r="E233" s="75" t="s">
        <v>546</v>
      </c>
      <c r="G233" s="68">
        <v>211</v>
      </c>
      <c r="H233" s="68">
        <v>211</v>
      </c>
      <c r="I233" s="68">
        <v>211</v>
      </c>
      <c r="K233" s="230">
        <f>H233</f>
        <v>211</v>
      </c>
      <c r="L233" s="230">
        <f>I233</f>
        <v>211</v>
      </c>
    </row>
    <row r="234" spans="2:13" ht="12.5" outlineLevel="2" x14ac:dyDescent="0.25">
      <c r="C234" s="8" t="s">
        <v>102</v>
      </c>
      <c r="D234" s="75" t="s">
        <v>378</v>
      </c>
      <c r="E234" s="75" t="s">
        <v>548</v>
      </c>
      <c r="G234" s="68">
        <v>4</v>
      </c>
      <c r="H234" s="68">
        <v>2</v>
      </c>
      <c r="I234" s="68">
        <v>0</v>
      </c>
      <c r="K234" s="230">
        <f t="shared" si="23"/>
        <v>2</v>
      </c>
      <c r="L234" s="230">
        <f t="shared" si="24"/>
        <v>0</v>
      </c>
    </row>
    <row r="235" spans="2:13" ht="12.5" outlineLevel="2" x14ac:dyDescent="0.25">
      <c r="C235" s="8" t="s">
        <v>85</v>
      </c>
      <c r="D235" s="75" t="s">
        <v>331</v>
      </c>
      <c r="E235" s="75" t="s">
        <v>546</v>
      </c>
      <c r="G235" s="89" t="s">
        <v>494</v>
      </c>
      <c r="H235" s="73">
        <v>5</v>
      </c>
      <c r="I235" s="73">
        <v>10</v>
      </c>
      <c r="K235" s="230">
        <f t="shared" si="23"/>
        <v>5</v>
      </c>
      <c r="L235" s="230">
        <f t="shared" si="24"/>
        <v>10</v>
      </c>
    </row>
    <row r="236" spans="2:13" ht="12.5" outlineLevel="2" x14ac:dyDescent="0.25">
      <c r="C236" s="8" t="s">
        <v>85</v>
      </c>
      <c r="D236" s="75" t="s">
        <v>332</v>
      </c>
      <c r="E236" s="75" t="s">
        <v>548</v>
      </c>
      <c r="G236" s="89" t="s">
        <v>494</v>
      </c>
      <c r="H236" s="73">
        <v>0</v>
      </c>
      <c r="I236" s="73">
        <v>0</v>
      </c>
      <c r="K236" s="230">
        <f t="shared" si="23"/>
        <v>0</v>
      </c>
      <c r="L236" s="230">
        <f t="shared" si="24"/>
        <v>0</v>
      </c>
    </row>
    <row r="237" spans="2:13" ht="12.5" outlineLevel="2" x14ac:dyDescent="0.25">
      <c r="C237" s="8" t="s">
        <v>89</v>
      </c>
      <c r="D237" s="75" t="s">
        <v>331</v>
      </c>
      <c r="E237" s="75" t="s">
        <v>546</v>
      </c>
      <c r="G237" s="89" t="s">
        <v>494</v>
      </c>
      <c r="H237" s="73">
        <v>369</v>
      </c>
      <c r="I237" s="73">
        <v>318</v>
      </c>
      <c r="K237" s="230">
        <f t="shared" si="23"/>
        <v>369</v>
      </c>
      <c r="L237" s="230">
        <f t="shared" si="24"/>
        <v>318</v>
      </c>
    </row>
    <row r="238" spans="2:13" ht="12.5" outlineLevel="2" x14ac:dyDescent="0.25">
      <c r="C238" s="8" t="s">
        <v>89</v>
      </c>
      <c r="D238" s="75" t="s">
        <v>332</v>
      </c>
      <c r="E238" s="75" t="s">
        <v>548</v>
      </c>
      <c r="G238" s="89" t="s">
        <v>494</v>
      </c>
      <c r="H238" s="73">
        <v>2</v>
      </c>
      <c r="I238" s="73">
        <v>0</v>
      </c>
      <c r="K238" s="230">
        <f t="shared" si="23"/>
        <v>2</v>
      </c>
      <c r="L238" s="230">
        <f t="shared" si="24"/>
        <v>0</v>
      </c>
    </row>
    <row r="239" spans="2:13" outlineLevel="1" x14ac:dyDescent="0.3">
      <c r="K239" s="47"/>
      <c r="L239" s="47"/>
    </row>
    <row r="240" spans="2:13" ht="13.5" outlineLevel="1" x14ac:dyDescent="0.35">
      <c r="B240" s="31" t="s">
        <v>550</v>
      </c>
      <c r="C240" s="31"/>
      <c r="D240" s="31"/>
      <c r="E240" s="31"/>
      <c r="F240" s="31"/>
      <c r="G240" s="31"/>
      <c r="H240" s="31"/>
      <c r="I240" s="31"/>
      <c r="J240" s="31"/>
      <c r="K240" s="404" t="s">
        <v>142</v>
      </c>
      <c r="L240" s="404"/>
      <c r="M240" s="31"/>
    </row>
    <row r="241" spans="3:12" outlineLevel="2" x14ac:dyDescent="0.3">
      <c r="K241" s="47"/>
      <c r="L241" s="47"/>
    </row>
    <row r="242" spans="3:12" ht="12.5" outlineLevel="2" x14ac:dyDescent="0.25">
      <c r="C242" s="8" t="s">
        <v>80</v>
      </c>
      <c r="D242" s="75" t="s">
        <v>283</v>
      </c>
      <c r="E242" s="75" t="s">
        <v>546</v>
      </c>
      <c r="G242" s="68">
        <v>219</v>
      </c>
      <c r="H242" s="68">
        <v>185</v>
      </c>
      <c r="I242" s="68">
        <v>254</v>
      </c>
      <c r="K242" s="230">
        <f t="shared" ref="K242:K257" si="25">H242</f>
        <v>185</v>
      </c>
      <c r="L242" s="230">
        <f t="shared" ref="L242:L257" si="26">I242</f>
        <v>254</v>
      </c>
    </row>
    <row r="243" spans="3:12" ht="12.5" outlineLevel="2" x14ac:dyDescent="0.25">
      <c r="C243" s="8" t="s">
        <v>87</v>
      </c>
      <c r="D243" s="75" t="s">
        <v>295</v>
      </c>
      <c r="E243" s="75" t="s">
        <v>546</v>
      </c>
      <c r="G243" s="68">
        <v>105</v>
      </c>
      <c r="H243" s="68">
        <v>73</v>
      </c>
      <c r="I243" s="68">
        <v>60</v>
      </c>
      <c r="K243" s="230">
        <f t="shared" si="25"/>
        <v>73</v>
      </c>
      <c r="L243" s="230">
        <f t="shared" si="26"/>
        <v>60</v>
      </c>
    </row>
    <row r="244" spans="3:12" ht="12.5" outlineLevel="2" x14ac:dyDescent="0.25">
      <c r="C244" s="8" t="s">
        <v>94</v>
      </c>
      <c r="D244" s="75" t="s">
        <v>316</v>
      </c>
      <c r="E244" s="75" t="s">
        <v>546</v>
      </c>
      <c r="G244" s="68">
        <v>131</v>
      </c>
      <c r="H244" s="68">
        <v>144</v>
      </c>
      <c r="I244" s="68">
        <v>427</v>
      </c>
      <c r="K244" s="230">
        <f t="shared" si="25"/>
        <v>144</v>
      </c>
      <c r="L244" s="230">
        <f t="shared" si="26"/>
        <v>427</v>
      </c>
    </row>
    <row r="245" spans="3:12" ht="12.5" outlineLevel="2" x14ac:dyDescent="0.25">
      <c r="C245" s="8" t="s">
        <v>94</v>
      </c>
      <c r="D245" s="75" t="s">
        <v>321</v>
      </c>
      <c r="E245" s="75" t="s">
        <v>548</v>
      </c>
      <c r="G245" s="68">
        <v>4</v>
      </c>
      <c r="H245" s="68">
        <v>7</v>
      </c>
      <c r="I245" s="68">
        <v>7</v>
      </c>
      <c r="K245" s="230">
        <f t="shared" si="25"/>
        <v>7</v>
      </c>
      <c r="L245" s="230">
        <f t="shared" si="26"/>
        <v>7</v>
      </c>
    </row>
    <row r="246" spans="3:12" ht="12.5" outlineLevel="2" x14ac:dyDescent="0.25">
      <c r="C246" s="8" t="s">
        <v>118</v>
      </c>
      <c r="D246" s="75" t="s">
        <v>339</v>
      </c>
      <c r="E246" s="75" t="s">
        <v>549</v>
      </c>
      <c r="G246" s="68">
        <v>237</v>
      </c>
      <c r="H246" s="68">
        <v>248</v>
      </c>
      <c r="I246" s="68">
        <v>286</v>
      </c>
      <c r="K246" s="230">
        <f>H246</f>
        <v>248</v>
      </c>
      <c r="L246" s="230">
        <f>I246</f>
        <v>286</v>
      </c>
    </row>
    <row r="247" spans="3:12" ht="12.5" outlineLevel="2" x14ac:dyDescent="0.25">
      <c r="C247" s="8" t="s">
        <v>118</v>
      </c>
      <c r="D247" s="75" t="s">
        <v>338</v>
      </c>
      <c r="E247" s="75" t="s">
        <v>548</v>
      </c>
      <c r="G247" s="68">
        <v>3</v>
      </c>
      <c r="H247" s="67">
        <v>2</v>
      </c>
      <c r="I247" s="67">
        <v>1</v>
      </c>
      <c r="K247" s="230">
        <f t="shared" si="25"/>
        <v>2</v>
      </c>
      <c r="L247" s="230">
        <f t="shared" si="26"/>
        <v>1</v>
      </c>
    </row>
    <row r="248" spans="3:12" ht="12.5" outlineLevel="2" x14ac:dyDescent="0.25">
      <c r="C248" s="8" t="s">
        <v>96</v>
      </c>
      <c r="D248" s="75" t="s">
        <v>348</v>
      </c>
      <c r="E248" s="75" t="s">
        <v>547</v>
      </c>
      <c r="G248" s="68">
        <v>292</v>
      </c>
      <c r="H248" s="68">
        <v>295</v>
      </c>
      <c r="I248" s="68">
        <v>321</v>
      </c>
      <c r="K248" s="230">
        <f t="shared" si="25"/>
        <v>295</v>
      </c>
      <c r="L248" s="230">
        <f t="shared" si="26"/>
        <v>321</v>
      </c>
    </row>
    <row r="249" spans="3:12" ht="12.5" outlineLevel="2" x14ac:dyDescent="0.25">
      <c r="C249" s="8" t="s">
        <v>98</v>
      </c>
      <c r="D249" s="75" t="s">
        <v>357</v>
      </c>
      <c r="E249" s="75" t="s">
        <v>546</v>
      </c>
      <c r="G249" s="68">
        <v>129</v>
      </c>
      <c r="H249" s="68">
        <v>143</v>
      </c>
      <c r="I249" s="68">
        <v>162</v>
      </c>
      <c r="K249" s="230">
        <f>H249</f>
        <v>143</v>
      </c>
      <c r="L249" s="230">
        <f>I249</f>
        <v>162</v>
      </c>
    </row>
    <row r="250" spans="3:12" ht="12.5" outlineLevel="2" x14ac:dyDescent="0.25">
      <c r="C250" s="8" t="s">
        <v>98</v>
      </c>
      <c r="D250" s="75" t="s">
        <v>356</v>
      </c>
      <c r="E250" s="75" t="s">
        <v>548</v>
      </c>
      <c r="G250" s="68">
        <v>0</v>
      </c>
      <c r="H250" s="68">
        <v>1</v>
      </c>
      <c r="I250" s="68">
        <v>0</v>
      </c>
      <c r="K250" s="230">
        <f t="shared" si="25"/>
        <v>1</v>
      </c>
      <c r="L250" s="230">
        <f t="shared" si="26"/>
        <v>0</v>
      </c>
    </row>
    <row r="251" spans="3:12" ht="12.5" outlineLevel="2" x14ac:dyDescent="0.25">
      <c r="C251" s="8" t="s">
        <v>82</v>
      </c>
      <c r="D251" s="75" t="s">
        <v>362</v>
      </c>
      <c r="E251" s="75" t="s">
        <v>546</v>
      </c>
      <c r="G251" s="68">
        <v>112</v>
      </c>
      <c r="H251" s="68">
        <v>118</v>
      </c>
      <c r="I251" s="68">
        <v>120</v>
      </c>
      <c r="K251" s="230">
        <f t="shared" si="25"/>
        <v>118</v>
      </c>
      <c r="L251" s="230">
        <f t="shared" si="26"/>
        <v>120</v>
      </c>
    </row>
    <row r="252" spans="3:12" ht="12.5" outlineLevel="2" x14ac:dyDescent="0.25">
      <c r="C252" s="8" t="s">
        <v>102</v>
      </c>
      <c r="D252" s="75" t="s">
        <v>379</v>
      </c>
      <c r="E252" s="75" t="s">
        <v>546</v>
      </c>
      <c r="G252" s="68">
        <v>202</v>
      </c>
      <c r="H252" s="68">
        <v>188</v>
      </c>
      <c r="I252" s="68">
        <v>159</v>
      </c>
      <c r="K252" s="230">
        <f>H252</f>
        <v>188</v>
      </c>
      <c r="L252" s="230">
        <f>I252</f>
        <v>159</v>
      </c>
    </row>
    <row r="253" spans="3:12" ht="12.5" outlineLevel="2" x14ac:dyDescent="0.25">
      <c r="C253" s="8" t="s">
        <v>102</v>
      </c>
      <c r="D253" s="75" t="s">
        <v>378</v>
      </c>
      <c r="E253" s="75" t="s">
        <v>548</v>
      </c>
      <c r="G253" s="68">
        <v>3</v>
      </c>
      <c r="H253" s="68">
        <v>11</v>
      </c>
      <c r="I253" s="68">
        <v>7</v>
      </c>
      <c r="K253" s="230">
        <f t="shared" si="25"/>
        <v>11</v>
      </c>
      <c r="L253" s="230">
        <f t="shared" si="26"/>
        <v>7</v>
      </c>
    </row>
    <row r="254" spans="3:12" ht="12.5" outlineLevel="2" x14ac:dyDescent="0.25">
      <c r="C254" s="8" t="s">
        <v>85</v>
      </c>
      <c r="D254" s="75" t="s">
        <v>331</v>
      </c>
      <c r="E254" s="75" t="s">
        <v>546</v>
      </c>
      <c r="G254" s="89" t="s">
        <v>494</v>
      </c>
      <c r="H254" s="73">
        <v>1</v>
      </c>
      <c r="I254" s="73">
        <v>4</v>
      </c>
      <c r="K254" s="230">
        <f t="shared" si="25"/>
        <v>1</v>
      </c>
      <c r="L254" s="230">
        <f t="shared" si="26"/>
        <v>4</v>
      </c>
    </row>
    <row r="255" spans="3:12" ht="12.5" outlineLevel="2" x14ac:dyDescent="0.25">
      <c r="C255" s="8" t="s">
        <v>85</v>
      </c>
      <c r="D255" s="75" t="s">
        <v>332</v>
      </c>
      <c r="E255" s="75" t="s">
        <v>548</v>
      </c>
      <c r="G255" s="89" t="s">
        <v>494</v>
      </c>
      <c r="H255" s="73">
        <v>0</v>
      </c>
      <c r="I255" s="73">
        <v>0</v>
      </c>
      <c r="K255" s="230">
        <f t="shared" si="25"/>
        <v>0</v>
      </c>
      <c r="L255" s="230">
        <f t="shared" si="26"/>
        <v>0</v>
      </c>
    </row>
    <row r="256" spans="3:12" ht="12.5" outlineLevel="2" x14ac:dyDescent="0.25">
      <c r="C256" s="8" t="s">
        <v>89</v>
      </c>
      <c r="D256" s="75" t="s">
        <v>331</v>
      </c>
      <c r="E256" s="75" t="s">
        <v>546</v>
      </c>
      <c r="G256" s="89" t="s">
        <v>494</v>
      </c>
      <c r="H256" s="73">
        <v>328</v>
      </c>
      <c r="I256" s="73">
        <v>288</v>
      </c>
      <c r="K256" s="230">
        <f t="shared" si="25"/>
        <v>328</v>
      </c>
      <c r="L256" s="230">
        <f t="shared" si="26"/>
        <v>288</v>
      </c>
    </row>
    <row r="257" spans="2:13" ht="12.5" outlineLevel="2" x14ac:dyDescent="0.25">
      <c r="C257" s="8" t="s">
        <v>89</v>
      </c>
      <c r="D257" s="75" t="s">
        <v>332</v>
      </c>
      <c r="E257" s="75" t="s">
        <v>548</v>
      </c>
      <c r="G257" s="89" t="s">
        <v>494</v>
      </c>
      <c r="H257" s="73">
        <v>7</v>
      </c>
      <c r="I257" s="73">
        <v>4</v>
      </c>
      <c r="K257" s="230">
        <f t="shared" si="25"/>
        <v>7</v>
      </c>
      <c r="L257" s="230">
        <f t="shared" si="26"/>
        <v>4</v>
      </c>
    </row>
    <row r="259" spans="2:13" ht="13.5" x14ac:dyDescent="0.35">
      <c r="B259" s="9" t="s">
        <v>682</v>
      </c>
      <c r="C259" s="9"/>
      <c r="D259" s="10"/>
      <c r="E259" s="10"/>
      <c r="F259" s="9"/>
      <c r="G259" s="9"/>
      <c r="H259" s="9"/>
      <c r="I259" s="9"/>
      <c r="J259" s="9"/>
      <c r="K259" s="9"/>
      <c r="L259" s="9"/>
      <c r="M259" s="9"/>
    </row>
    <row r="260" spans="2:13" outlineLevel="1" x14ac:dyDescent="0.3"/>
    <row r="261" spans="2:13" ht="13.5" outlineLevel="1" x14ac:dyDescent="0.35">
      <c r="B261" s="31" t="s">
        <v>681</v>
      </c>
      <c r="C261" s="31"/>
      <c r="D261" s="31"/>
      <c r="E261" s="31"/>
      <c r="F261" s="31"/>
      <c r="G261" s="31"/>
      <c r="H261" s="31"/>
      <c r="I261" s="31"/>
      <c r="J261" s="31"/>
      <c r="K261" s="404"/>
      <c r="L261" s="404"/>
      <c r="M261" s="31"/>
    </row>
    <row r="262" spans="2:13" outlineLevel="1" x14ac:dyDescent="0.3"/>
    <row r="263" spans="2:13" ht="12.5" outlineLevel="1" x14ac:dyDescent="0.25">
      <c r="C263" s="83" t="s">
        <v>80</v>
      </c>
      <c r="D263" s="281" t="s">
        <v>81</v>
      </c>
      <c r="E263" s="281" t="s">
        <v>143</v>
      </c>
      <c r="F263" s="83"/>
      <c r="G263" s="89" t="s">
        <v>494</v>
      </c>
      <c r="H263" s="89" t="s">
        <v>494</v>
      </c>
      <c r="I263" s="63">
        <v>79.010000000000005</v>
      </c>
      <c r="K263" s="89" t="s">
        <v>494</v>
      </c>
      <c r="L263" s="229">
        <f>I263</f>
        <v>79.010000000000005</v>
      </c>
    </row>
    <row r="264" spans="2:13" ht="12.5" outlineLevel="1" x14ac:dyDescent="0.25">
      <c r="C264" s="83" t="s">
        <v>82</v>
      </c>
      <c r="D264" s="281" t="s">
        <v>83</v>
      </c>
      <c r="E264" s="281" t="s">
        <v>143</v>
      </c>
      <c r="F264" s="83"/>
      <c r="G264" s="89" t="s">
        <v>494</v>
      </c>
      <c r="H264" s="89" t="s">
        <v>494</v>
      </c>
      <c r="I264" s="63">
        <v>82.47</v>
      </c>
      <c r="K264" s="89" t="s">
        <v>494</v>
      </c>
      <c r="L264" s="229">
        <f t="shared" ref="L264:L279" si="27">I264</f>
        <v>82.47</v>
      </c>
    </row>
    <row r="265" spans="2:13" ht="12.5" outlineLevel="1" x14ac:dyDescent="0.25">
      <c r="C265" s="83" t="s">
        <v>85</v>
      </c>
      <c r="D265" s="281" t="s">
        <v>86</v>
      </c>
      <c r="E265" s="281" t="s">
        <v>143</v>
      </c>
      <c r="F265" s="83"/>
      <c r="G265" s="89" t="s">
        <v>494</v>
      </c>
      <c r="H265" s="89" t="s">
        <v>494</v>
      </c>
      <c r="I265" s="63">
        <v>75.010000000000005</v>
      </c>
      <c r="K265" s="89" t="s">
        <v>494</v>
      </c>
      <c r="L265" s="229">
        <f t="shared" si="27"/>
        <v>75.010000000000005</v>
      </c>
    </row>
    <row r="266" spans="2:13" ht="12.5" outlineLevel="1" x14ac:dyDescent="0.25">
      <c r="C266" s="83" t="s">
        <v>87</v>
      </c>
      <c r="D266" s="281" t="s">
        <v>88</v>
      </c>
      <c r="E266" s="281" t="s">
        <v>143</v>
      </c>
      <c r="F266" s="83"/>
      <c r="G266" s="89" t="s">
        <v>494</v>
      </c>
      <c r="H266" s="89" t="s">
        <v>494</v>
      </c>
      <c r="I266" s="63">
        <v>79.64</v>
      </c>
      <c r="K266" s="89" t="s">
        <v>494</v>
      </c>
      <c r="L266" s="229">
        <f t="shared" si="27"/>
        <v>79.64</v>
      </c>
    </row>
    <row r="267" spans="2:13" ht="12.5" outlineLevel="1" x14ac:dyDescent="0.25">
      <c r="C267" s="83" t="s">
        <v>89</v>
      </c>
      <c r="D267" s="281" t="s">
        <v>90</v>
      </c>
      <c r="E267" s="281" t="s">
        <v>143</v>
      </c>
      <c r="F267" s="83"/>
      <c r="G267" s="89" t="s">
        <v>494</v>
      </c>
      <c r="H267" s="89" t="s">
        <v>494</v>
      </c>
      <c r="I267" s="63">
        <v>77.650000000000006</v>
      </c>
      <c r="K267" s="89" t="s">
        <v>494</v>
      </c>
      <c r="L267" s="229">
        <f t="shared" si="27"/>
        <v>77.650000000000006</v>
      </c>
    </row>
    <row r="268" spans="2:13" ht="12.5" outlineLevel="1" x14ac:dyDescent="0.25">
      <c r="C268" s="83" t="s">
        <v>91</v>
      </c>
      <c r="D268" s="281" t="s">
        <v>92</v>
      </c>
      <c r="E268" s="281" t="s">
        <v>143</v>
      </c>
      <c r="F268" s="83"/>
      <c r="G268" s="89" t="s">
        <v>494</v>
      </c>
      <c r="H268" s="89" t="s">
        <v>494</v>
      </c>
      <c r="I268" s="63">
        <v>76.349999999999994</v>
      </c>
      <c r="K268" s="89" t="s">
        <v>494</v>
      </c>
      <c r="L268" s="229">
        <f t="shared" si="27"/>
        <v>76.349999999999994</v>
      </c>
    </row>
    <row r="269" spans="2:13" ht="12.5" outlineLevel="1" x14ac:dyDescent="0.25">
      <c r="C269" s="83" t="s">
        <v>94</v>
      </c>
      <c r="D269" s="281" t="s">
        <v>95</v>
      </c>
      <c r="E269" s="281" t="s">
        <v>143</v>
      </c>
      <c r="F269" s="83"/>
      <c r="G269" s="89" t="s">
        <v>494</v>
      </c>
      <c r="H269" s="89" t="s">
        <v>494</v>
      </c>
      <c r="I269" s="63">
        <v>68.849999999999994</v>
      </c>
      <c r="K269" s="89" t="s">
        <v>494</v>
      </c>
      <c r="L269" s="229">
        <f t="shared" si="27"/>
        <v>68.849999999999994</v>
      </c>
    </row>
    <row r="270" spans="2:13" ht="12.5" outlineLevel="1" x14ac:dyDescent="0.25">
      <c r="C270" s="83" t="s">
        <v>96</v>
      </c>
      <c r="D270" s="281" t="s">
        <v>97</v>
      </c>
      <c r="E270" s="281" t="s">
        <v>143</v>
      </c>
      <c r="F270" s="83"/>
      <c r="G270" s="89" t="s">
        <v>494</v>
      </c>
      <c r="H270" s="89" t="s">
        <v>494</v>
      </c>
      <c r="I270" s="63">
        <v>65.12</v>
      </c>
      <c r="K270" s="89" t="s">
        <v>494</v>
      </c>
      <c r="L270" s="229">
        <f t="shared" si="27"/>
        <v>65.12</v>
      </c>
    </row>
    <row r="271" spans="2:13" ht="12.5" outlineLevel="1" x14ac:dyDescent="0.25">
      <c r="C271" s="83" t="s">
        <v>98</v>
      </c>
      <c r="D271" s="281" t="s">
        <v>99</v>
      </c>
      <c r="E271" s="281" t="s">
        <v>143</v>
      </c>
      <c r="F271" s="83"/>
      <c r="G271" s="89" t="s">
        <v>494</v>
      </c>
      <c r="H271" s="89" t="s">
        <v>494</v>
      </c>
      <c r="I271" s="63">
        <v>79.760000000000005</v>
      </c>
      <c r="K271" s="89" t="s">
        <v>494</v>
      </c>
      <c r="L271" s="229">
        <f t="shared" si="27"/>
        <v>79.760000000000005</v>
      </c>
    </row>
    <row r="272" spans="2:13" ht="12.5" outlineLevel="1" x14ac:dyDescent="0.25">
      <c r="C272" s="83" t="s">
        <v>100</v>
      </c>
      <c r="D272" s="281" t="s">
        <v>101</v>
      </c>
      <c r="E272" s="281" t="s">
        <v>143</v>
      </c>
      <c r="F272" s="83"/>
      <c r="G272" s="89" t="s">
        <v>494</v>
      </c>
      <c r="H272" s="89" t="s">
        <v>494</v>
      </c>
      <c r="I272" s="63">
        <v>81.05</v>
      </c>
      <c r="K272" s="89" t="s">
        <v>494</v>
      </c>
      <c r="L272" s="229">
        <f t="shared" si="27"/>
        <v>81.05</v>
      </c>
    </row>
    <row r="273" spans="2:13" ht="12.5" outlineLevel="1" x14ac:dyDescent="0.25">
      <c r="C273" s="83" t="s">
        <v>102</v>
      </c>
      <c r="D273" s="281" t="s">
        <v>103</v>
      </c>
      <c r="E273" s="281" t="s">
        <v>143</v>
      </c>
      <c r="F273" s="83"/>
      <c r="G273" s="89" t="s">
        <v>494</v>
      </c>
      <c r="H273" s="89" t="s">
        <v>494</v>
      </c>
      <c r="I273" s="63">
        <v>79.2</v>
      </c>
      <c r="K273" s="89" t="s">
        <v>494</v>
      </c>
      <c r="L273" s="229">
        <f t="shared" si="27"/>
        <v>79.2</v>
      </c>
    </row>
    <row r="274" spans="2:13" ht="12.5" outlineLevel="1" x14ac:dyDescent="0.25">
      <c r="C274" s="83" t="s">
        <v>104</v>
      </c>
      <c r="D274" s="281" t="s">
        <v>105</v>
      </c>
      <c r="E274" s="281" t="s">
        <v>143</v>
      </c>
      <c r="F274" s="83"/>
      <c r="G274" s="89" t="s">
        <v>494</v>
      </c>
      <c r="H274" s="89" t="s">
        <v>494</v>
      </c>
      <c r="I274" s="63">
        <v>72.7</v>
      </c>
      <c r="K274" s="89" t="s">
        <v>494</v>
      </c>
      <c r="L274" s="229">
        <f t="shared" si="27"/>
        <v>72.7</v>
      </c>
    </row>
    <row r="275" spans="2:13" ht="12.5" outlineLevel="1" x14ac:dyDescent="0.25">
      <c r="C275" s="83" t="s">
        <v>106</v>
      </c>
      <c r="D275" s="281" t="s">
        <v>107</v>
      </c>
      <c r="E275" s="281" t="s">
        <v>143</v>
      </c>
      <c r="F275" s="83"/>
      <c r="G275" s="89" t="s">
        <v>494</v>
      </c>
      <c r="H275" s="89" t="s">
        <v>494</v>
      </c>
      <c r="I275" s="63">
        <v>78.13</v>
      </c>
      <c r="K275" s="89" t="s">
        <v>494</v>
      </c>
      <c r="L275" s="229">
        <f t="shared" si="27"/>
        <v>78.13</v>
      </c>
    </row>
    <row r="276" spans="2:13" ht="12.5" outlineLevel="1" x14ac:dyDescent="0.25">
      <c r="C276" s="83" t="s">
        <v>108</v>
      </c>
      <c r="D276" s="281" t="s">
        <v>109</v>
      </c>
      <c r="E276" s="281" t="s">
        <v>143</v>
      </c>
      <c r="F276" s="83"/>
      <c r="G276" s="89" t="s">
        <v>494</v>
      </c>
      <c r="H276" s="89" t="s">
        <v>494</v>
      </c>
      <c r="I276" s="63">
        <v>82.09</v>
      </c>
      <c r="K276" s="89" t="s">
        <v>494</v>
      </c>
      <c r="L276" s="229">
        <f t="shared" si="27"/>
        <v>82.09</v>
      </c>
    </row>
    <row r="277" spans="2:13" ht="12.5" outlineLevel="1" x14ac:dyDescent="0.25">
      <c r="C277" s="83" t="s">
        <v>112</v>
      </c>
      <c r="D277" s="281" t="s">
        <v>113</v>
      </c>
      <c r="E277" s="281" t="s">
        <v>143</v>
      </c>
      <c r="F277" s="83"/>
      <c r="G277" s="89" t="s">
        <v>494</v>
      </c>
      <c r="H277" s="89" t="s">
        <v>494</v>
      </c>
      <c r="I277" s="63">
        <v>73.36</v>
      </c>
      <c r="K277" s="89" t="s">
        <v>494</v>
      </c>
      <c r="L277" s="229">
        <f t="shared" si="27"/>
        <v>73.36</v>
      </c>
    </row>
    <row r="278" spans="2:13" ht="12.5" outlineLevel="1" x14ac:dyDescent="0.25">
      <c r="C278" s="83" t="s">
        <v>114</v>
      </c>
      <c r="D278" s="281" t="s">
        <v>115</v>
      </c>
      <c r="E278" s="281" t="s">
        <v>143</v>
      </c>
      <c r="F278" s="83"/>
      <c r="G278" s="89" t="s">
        <v>494</v>
      </c>
      <c r="H278" s="89" t="s">
        <v>494</v>
      </c>
      <c r="I278" s="63">
        <v>77.47</v>
      </c>
      <c r="K278" s="89" t="s">
        <v>494</v>
      </c>
      <c r="L278" s="229">
        <f t="shared" si="27"/>
        <v>77.47</v>
      </c>
    </row>
    <row r="279" spans="2:13" ht="12.5" outlineLevel="1" x14ac:dyDescent="0.25">
      <c r="C279" s="83" t="s">
        <v>110</v>
      </c>
      <c r="D279" s="281" t="s">
        <v>111</v>
      </c>
      <c r="E279" s="281" t="s">
        <v>143</v>
      </c>
      <c r="F279" s="83"/>
      <c r="G279" s="89" t="s">
        <v>494</v>
      </c>
      <c r="H279" s="89" t="s">
        <v>494</v>
      </c>
      <c r="I279" s="63">
        <v>72.849999999999994</v>
      </c>
      <c r="K279" s="89" t="s">
        <v>494</v>
      </c>
      <c r="L279" s="229">
        <f t="shared" si="27"/>
        <v>72.849999999999994</v>
      </c>
    </row>
    <row r="281" spans="2:13" ht="13.5" x14ac:dyDescent="0.35">
      <c r="B281" s="9" t="s">
        <v>670</v>
      </c>
      <c r="C281" s="9"/>
      <c r="D281" s="10"/>
      <c r="E281" s="10"/>
      <c r="F281" s="9"/>
      <c r="G281" s="9"/>
      <c r="H281" s="9"/>
      <c r="I281" s="9"/>
      <c r="J281" s="9"/>
      <c r="K281" s="56"/>
      <c r="L281" s="56"/>
      <c r="M281" s="9"/>
    </row>
    <row r="282" spans="2:13" outlineLevel="1" x14ac:dyDescent="0.3">
      <c r="K282" s="47"/>
      <c r="L282" s="47"/>
    </row>
    <row r="283" spans="2:13" ht="13.5" outlineLevel="1" x14ac:dyDescent="0.35">
      <c r="B283" s="31" t="s">
        <v>671</v>
      </c>
      <c r="C283" s="31"/>
      <c r="D283" s="31"/>
      <c r="E283" s="31"/>
      <c r="F283" s="31"/>
      <c r="G283" s="31"/>
      <c r="H283" s="31"/>
      <c r="I283" s="31"/>
      <c r="J283" s="31"/>
      <c r="K283" s="157"/>
      <c r="L283" s="340" t="s">
        <v>773</v>
      </c>
      <c r="M283" s="31"/>
    </row>
    <row r="284" spans="2:13" outlineLevel="2" x14ac:dyDescent="0.3"/>
    <row r="285" spans="2:13" ht="12.5" outlineLevel="2" x14ac:dyDescent="0.25">
      <c r="C285" s="8" t="s">
        <v>80</v>
      </c>
      <c r="D285" s="281" t="s">
        <v>282</v>
      </c>
      <c r="E285" s="281" t="s">
        <v>697</v>
      </c>
      <c r="G285" s="89" t="s">
        <v>494</v>
      </c>
      <c r="H285" s="89" t="s">
        <v>494</v>
      </c>
      <c r="I285" s="335">
        <v>67</v>
      </c>
      <c r="L285" s="339" t="s">
        <v>771</v>
      </c>
    </row>
    <row r="286" spans="2:13" ht="12.5" outlineLevel="2" x14ac:dyDescent="0.25">
      <c r="C286" s="8" t="s">
        <v>87</v>
      </c>
      <c r="D286" s="281" t="s">
        <v>296</v>
      </c>
      <c r="E286" s="281" t="s">
        <v>698</v>
      </c>
      <c r="G286" s="335">
        <v>32</v>
      </c>
      <c r="H286" s="335">
        <v>34</v>
      </c>
      <c r="I286" s="335">
        <v>34</v>
      </c>
      <c r="L286" s="339" t="s">
        <v>771</v>
      </c>
    </row>
    <row r="287" spans="2:13" ht="12.5" outlineLevel="2" x14ac:dyDescent="0.25">
      <c r="C287" s="8" t="s">
        <v>91</v>
      </c>
      <c r="D287" s="281" t="s">
        <v>342</v>
      </c>
      <c r="E287" s="281" t="s">
        <v>699</v>
      </c>
      <c r="G287" s="335">
        <v>-6</v>
      </c>
      <c r="H287" s="335">
        <v>-3</v>
      </c>
      <c r="I287" s="335">
        <v>0</v>
      </c>
      <c r="L287" s="339" t="s">
        <v>771</v>
      </c>
    </row>
    <row r="288" spans="2:13" ht="12.5" outlineLevel="2" x14ac:dyDescent="0.25">
      <c r="C288" s="8" t="s">
        <v>94</v>
      </c>
      <c r="D288" s="281" t="s">
        <v>318</v>
      </c>
      <c r="E288" s="281" t="s">
        <v>700</v>
      </c>
      <c r="G288" s="335">
        <v>54</v>
      </c>
      <c r="H288" s="335">
        <v>54</v>
      </c>
      <c r="I288" s="335">
        <v>54</v>
      </c>
      <c r="L288" s="339" t="s">
        <v>771</v>
      </c>
    </row>
    <row r="289" spans="2:13" ht="12.5" outlineLevel="2" x14ac:dyDescent="0.25">
      <c r="C289" s="8" t="s">
        <v>94</v>
      </c>
      <c r="D289" s="281" t="s">
        <v>319</v>
      </c>
      <c r="E289" s="281" t="s">
        <v>701</v>
      </c>
      <c r="G289" s="335">
        <v>0</v>
      </c>
      <c r="H289" s="335">
        <v>0</v>
      </c>
      <c r="I289" s="335">
        <v>7</v>
      </c>
      <c r="L289" s="339" t="s">
        <v>771</v>
      </c>
    </row>
    <row r="290" spans="2:13" ht="12.5" outlineLevel="2" x14ac:dyDescent="0.25">
      <c r="C290" s="8" t="s">
        <v>94</v>
      </c>
      <c r="D290" s="281" t="s">
        <v>320</v>
      </c>
      <c r="E290" s="281" t="s">
        <v>702</v>
      </c>
      <c r="G290" s="89" t="s">
        <v>494</v>
      </c>
      <c r="H290" s="89" t="s">
        <v>494</v>
      </c>
      <c r="I290" s="334">
        <v>31.5</v>
      </c>
      <c r="L290" s="339" t="s">
        <v>768</v>
      </c>
    </row>
    <row r="291" spans="2:13" ht="12.5" outlineLevel="2" x14ac:dyDescent="0.25">
      <c r="C291" s="8" t="s">
        <v>98</v>
      </c>
      <c r="D291" s="281" t="s">
        <v>354</v>
      </c>
      <c r="E291" s="281" t="s">
        <v>703</v>
      </c>
      <c r="G291" s="335">
        <v>1.49</v>
      </c>
      <c r="H291" s="335">
        <v>3.78</v>
      </c>
      <c r="I291" s="335">
        <v>6.56</v>
      </c>
      <c r="L291" s="339" t="s">
        <v>771</v>
      </c>
    </row>
    <row r="292" spans="2:13" ht="12.5" outlineLevel="2" x14ac:dyDescent="0.25">
      <c r="C292" s="8" t="s">
        <v>100</v>
      </c>
      <c r="D292" s="281" t="s">
        <v>367</v>
      </c>
      <c r="E292" s="281" t="s">
        <v>704</v>
      </c>
      <c r="G292" s="335">
        <v>100</v>
      </c>
      <c r="H292" s="335">
        <v>100</v>
      </c>
      <c r="I292" s="335">
        <v>100</v>
      </c>
      <c r="L292" s="339" t="s">
        <v>771</v>
      </c>
    </row>
    <row r="293" spans="2:13" ht="12.5" outlineLevel="2" x14ac:dyDescent="0.25">
      <c r="C293" s="8" t="s">
        <v>102</v>
      </c>
      <c r="D293" s="281" t="s">
        <v>380</v>
      </c>
      <c r="E293" s="281" t="s">
        <v>705</v>
      </c>
      <c r="G293" s="335">
        <v>15</v>
      </c>
      <c r="H293" s="335">
        <v>15</v>
      </c>
      <c r="I293" s="335">
        <v>16</v>
      </c>
      <c r="L293" s="339" t="s">
        <v>771</v>
      </c>
    </row>
    <row r="294" spans="2:13" outlineLevel="1" x14ac:dyDescent="0.3"/>
    <row r="295" spans="2:13" ht="13.5" outlineLevel="1" x14ac:dyDescent="0.35">
      <c r="B295" s="31" t="s">
        <v>729</v>
      </c>
      <c r="C295" s="31"/>
      <c r="D295" s="31"/>
      <c r="E295" s="31"/>
      <c r="F295" s="31"/>
      <c r="G295" s="31"/>
      <c r="H295" s="31"/>
      <c r="I295" s="31"/>
      <c r="J295" s="31"/>
      <c r="K295" s="404"/>
      <c r="L295" s="404"/>
      <c r="M295" s="31"/>
    </row>
    <row r="296" spans="2:13" outlineLevel="2" x14ac:dyDescent="0.3"/>
    <row r="297" spans="2:13" ht="12.5" outlineLevel="2" x14ac:dyDescent="0.25">
      <c r="C297" s="8" t="s">
        <v>80</v>
      </c>
      <c r="D297" s="281" t="s">
        <v>282</v>
      </c>
      <c r="E297" s="281" t="s">
        <v>697</v>
      </c>
      <c r="G297" s="335">
        <v>63</v>
      </c>
      <c r="H297" s="335">
        <v>65</v>
      </c>
      <c r="I297" s="335">
        <v>61</v>
      </c>
    </row>
    <row r="298" spans="2:13" ht="12.5" outlineLevel="2" x14ac:dyDescent="0.25">
      <c r="C298" s="8" t="s">
        <v>87</v>
      </c>
      <c r="D298" s="281" t="s">
        <v>296</v>
      </c>
      <c r="E298" s="281" t="s">
        <v>698</v>
      </c>
      <c r="G298" s="335">
        <v>34</v>
      </c>
      <c r="H298" s="335">
        <v>33</v>
      </c>
      <c r="I298" s="335">
        <v>33</v>
      </c>
    </row>
    <row r="299" spans="2:13" ht="12.5" outlineLevel="2" x14ac:dyDescent="0.25">
      <c r="C299" s="8" t="s">
        <v>91</v>
      </c>
      <c r="D299" s="281" t="s">
        <v>342</v>
      </c>
      <c r="E299" s="281" t="s">
        <v>699</v>
      </c>
      <c r="G299" s="335">
        <v>0</v>
      </c>
      <c r="H299" s="335">
        <v>0</v>
      </c>
      <c r="I299" s="335">
        <v>0</v>
      </c>
    </row>
    <row r="300" spans="2:13" ht="12.5" outlineLevel="2" x14ac:dyDescent="0.25">
      <c r="C300" s="8" t="s">
        <v>94</v>
      </c>
      <c r="D300" s="281" t="s">
        <v>318</v>
      </c>
      <c r="E300" s="281" t="s">
        <v>700</v>
      </c>
      <c r="G300" s="335">
        <v>53</v>
      </c>
      <c r="H300" s="335">
        <v>57</v>
      </c>
      <c r="I300" s="335">
        <v>56</v>
      </c>
    </row>
    <row r="301" spans="2:13" ht="12.5" outlineLevel="2" x14ac:dyDescent="0.25">
      <c r="C301" s="8" t="s">
        <v>94</v>
      </c>
      <c r="D301" s="281" t="s">
        <v>319</v>
      </c>
      <c r="E301" s="281" t="s">
        <v>701</v>
      </c>
      <c r="G301" s="335">
        <v>0</v>
      </c>
      <c r="H301" s="335">
        <v>5</v>
      </c>
      <c r="I301" s="335">
        <v>6</v>
      </c>
    </row>
    <row r="302" spans="2:13" ht="12.5" outlineLevel="2" x14ac:dyDescent="0.25">
      <c r="C302" s="8" t="s">
        <v>94</v>
      </c>
      <c r="D302" s="281" t="s">
        <v>320</v>
      </c>
      <c r="E302" s="281" t="s">
        <v>702</v>
      </c>
      <c r="G302" s="89" t="s">
        <v>494</v>
      </c>
      <c r="H302" s="89" t="s">
        <v>494</v>
      </c>
      <c r="I302" s="334">
        <v>26.8</v>
      </c>
    </row>
    <row r="303" spans="2:13" ht="12.5" outlineLevel="2" x14ac:dyDescent="0.25">
      <c r="C303" s="8" t="s">
        <v>98</v>
      </c>
      <c r="D303" s="281" t="s">
        <v>354</v>
      </c>
      <c r="E303" s="281" t="s">
        <v>703</v>
      </c>
      <c r="G303" s="335">
        <v>1.49</v>
      </c>
      <c r="H303" s="335">
        <v>4.21</v>
      </c>
      <c r="I303" s="335">
        <v>6.56</v>
      </c>
    </row>
    <row r="304" spans="2:13" ht="12.5" outlineLevel="2" x14ac:dyDescent="0.25">
      <c r="C304" s="8" t="s">
        <v>100</v>
      </c>
      <c r="D304" s="281" t="s">
        <v>367</v>
      </c>
      <c r="E304" s="281" t="s">
        <v>704</v>
      </c>
      <c r="G304" s="335">
        <v>100</v>
      </c>
      <c r="H304" s="335">
        <v>100</v>
      </c>
      <c r="I304" s="335">
        <v>96</v>
      </c>
    </row>
    <row r="305" spans="2:13" ht="12.5" outlineLevel="2" x14ac:dyDescent="0.25">
      <c r="C305" s="8" t="s">
        <v>102</v>
      </c>
      <c r="D305" s="281" t="s">
        <v>380</v>
      </c>
      <c r="E305" s="281" t="s">
        <v>705</v>
      </c>
      <c r="G305" s="335">
        <v>18</v>
      </c>
      <c r="H305" s="335">
        <v>17</v>
      </c>
      <c r="I305" s="335">
        <v>17</v>
      </c>
    </row>
    <row r="307" spans="2:13" ht="13.5" x14ac:dyDescent="0.35">
      <c r="B307" s="9" t="s">
        <v>706</v>
      </c>
      <c r="C307" s="9"/>
      <c r="D307" s="10"/>
      <c r="E307" s="10"/>
      <c r="F307" s="9"/>
      <c r="G307" s="9"/>
      <c r="H307" s="9"/>
      <c r="I307" s="9"/>
      <c r="J307" s="9"/>
      <c r="K307" s="56"/>
      <c r="L307" s="56"/>
      <c r="M307" s="9"/>
    </row>
    <row r="308" spans="2:13" outlineLevel="1" x14ac:dyDescent="0.3">
      <c r="K308" s="47"/>
      <c r="L308" s="47"/>
    </row>
    <row r="309" spans="2:13" ht="13.5" outlineLevel="1" x14ac:dyDescent="0.35">
      <c r="B309" s="31" t="s">
        <v>707</v>
      </c>
      <c r="C309" s="31"/>
      <c r="D309" s="31"/>
      <c r="E309" s="31"/>
      <c r="F309" s="31"/>
      <c r="G309" s="31"/>
      <c r="H309" s="31"/>
      <c r="I309" s="31"/>
      <c r="J309" s="31"/>
      <c r="K309" s="157"/>
      <c r="L309" s="340" t="s">
        <v>773</v>
      </c>
      <c r="M309" s="31"/>
    </row>
    <row r="310" spans="2:13" outlineLevel="2" x14ac:dyDescent="0.3"/>
    <row r="311" spans="2:13" ht="12.5" outlineLevel="2" x14ac:dyDescent="0.25">
      <c r="C311" s="8" t="s">
        <v>89</v>
      </c>
      <c r="D311" s="281" t="s">
        <v>328</v>
      </c>
      <c r="E311" s="281" t="s">
        <v>708</v>
      </c>
      <c r="G311" s="89" t="s">
        <v>494</v>
      </c>
      <c r="H311" s="89" t="s">
        <v>494</v>
      </c>
      <c r="I311" s="335">
        <v>31</v>
      </c>
      <c r="L311" s="339" t="s">
        <v>771</v>
      </c>
    </row>
    <row r="312" spans="2:13" ht="12.5" outlineLevel="2" x14ac:dyDescent="0.25">
      <c r="C312" s="8" t="s">
        <v>89</v>
      </c>
      <c r="D312" s="281" t="s">
        <v>330</v>
      </c>
      <c r="E312" s="281" t="s">
        <v>708</v>
      </c>
      <c r="G312" s="89" t="s">
        <v>494</v>
      </c>
      <c r="H312" s="89" t="s">
        <v>494</v>
      </c>
      <c r="I312" s="335">
        <v>202</v>
      </c>
      <c r="L312" s="339" t="s">
        <v>771</v>
      </c>
    </row>
    <row r="313" spans="2:13" ht="12.5" outlineLevel="2" x14ac:dyDescent="0.25">
      <c r="C313" s="8" t="s">
        <v>91</v>
      </c>
      <c r="D313" s="281" t="s">
        <v>343</v>
      </c>
      <c r="E313" s="281" t="s">
        <v>709</v>
      </c>
      <c r="G313" s="89" t="s">
        <v>494</v>
      </c>
      <c r="H313" s="89" t="s">
        <v>494</v>
      </c>
      <c r="I313" s="335">
        <v>650</v>
      </c>
      <c r="L313" s="339" t="s">
        <v>771</v>
      </c>
    </row>
    <row r="314" spans="2:13" ht="12.5" outlineLevel="2" x14ac:dyDescent="0.25">
      <c r="C314" s="8" t="s">
        <v>98</v>
      </c>
      <c r="D314" s="281" t="s">
        <v>353</v>
      </c>
      <c r="E314" s="281" t="s">
        <v>710</v>
      </c>
      <c r="G314" s="335">
        <v>6.6</v>
      </c>
      <c r="H314" s="335">
        <v>6.6</v>
      </c>
      <c r="I314" s="335">
        <v>159.5</v>
      </c>
      <c r="L314" s="339" t="s">
        <v>771</v>
      </c>
    </row>
    <row r="315" spans="2:13" ht="12.5" outlineLevel="2" x14ac:dyDescent="0.25">
      <c r="C315" s="8" t="s">
        <v>98</v>
      </c>
      <c r="D315" s="281" t="s">
        <v>718</v>
      </c>
      <c r="E315" s="281" t="s">
        <v>711</v>
      </c>
      <c r="G315" s="335">
        <v>190.1</v>
      </c>
      <c r="H315" s="335">
        <v>316.7</v>
      </c>
      <c r="I315" s="335">
        <v>346.6</v>
      </c>
      <c r="L315" s="339" t="s">
        <v>771</v>
      </c>
    </row>
    <row r="316" spans="2:13" ht="12.5" outlineLevel="2" x14ac:dyDescent="0.25">
      <c r="C316" s="8" t="s">
        <v>98</v>
      </c>
      <c r="D316" s="281" t="s">
        <v>355</v>
      </c>
      <c r="E316" s="281" t="s">
        <v>712</v>
      </c>
      <c r="G316" s="335">
        <v>98.14</v>
      </c>
      <c r="H316" s="335">
        <v>145.38999999999999</v>
      </c>
      <c r="I316" s="335">
        <v>355.22</v>
      </c>
      <c r="L316" s="339" t="s">
        <v>771</v>
      </c>
    </row>
    <row r="317" spans="2:13" ht="12.5" outlineLevel="2" x14ac:dyDescent="0.25">
      <c r="C317" s="8" t="s">
        <v>96</v>
      </c>
      <c r="D317" s="281" t="s">
        <v>349</v>
      </c>
      <c r="E317" s="281" t="s">
        <v>713</v>
      </c>
      <c r="G317" s="89" t="s">
        <v>494</v>
      </c>
      <c r="H317" s="89" t="s">
        <v>494</v>
      </c>
      <c r="I317" s="335">
        <v>59.3</v>
      </c>
      <c r="L317" s="339" t="s">
        <v>771</v>
      </c>
    </row>
    <row r="318" spans="2:13" ht="12.5" outlineLevel="2" x14ac:dyDescent="0.25">
      <c r="C318" s="8" t="s">
        <v>100</v>
      </c>
      <c r="D318" s="281" t="s">
        <v>368</v>
      </c>
      <c r="E318" s="281" t="s">
        <v>714</v>
      </c>
      <c r="G318" s="335">
        <v>8</v>
      </c>
      <c r="H318" s="335">
        <v>11</v>
      </c>
      <c r="I318" s="335">
        <v>70</v>
      </c>
      <c r="L318" s="339" t="s">
        <v>771</v>
      </c>
    </row>
    <row r="319" spans="2:13" ht="12.5" outlineLevel="2" x14ac:dyDescent="0.25">
      <c r="C319" s="8" t="s">
        <v>100</v>
      </c>
      <c r="D319" s="281" t="s">
        <v>364</v>
      </c>
      <c r="E319" s="281" t="s">
        <v>715</v>
      </c>
      <c r="G319" s="335">
        <v>0</v>
      </c>
      <c r="H319" s="335">
        <v>99</v>
      </c>
      <c r="I319" s="335">
        <v>99</v>
      </c>
      <c r="L319" s="339" t="s">
        <v>771</v>
      </c>
    </row>
    <row r="320" spans="2:13" ht="12.5" outlineLevel="2" x14ac:dyDescent="0.25">
      <c r="C320" s="8" t="s">
        <v>102</v>
      </c>
      <c r="D320" s="281" t="s">
        <v>381</v>
      </c>
      <c r="E320" s="281" t="s">
        <v>716</v>
      </c>
      <c r="G320" s="89" t="s">
        <v>494</v>
      </c>
      <c r="H320" s="89" t="s">
        <v>494</v>
      </c>
      <c r="I320" s="335">
        <v>340</v>
      </c>
      <c r="L320" s="339" t="s">
        <v>771</v>
      </c>
    </row>
    <row r="321" spans="2:13" ht="12.5" outlineLevel="2" x14ac:dyDescent="0.25">
      <c r="C321" s="8" t="s">
        <v>102</v>
      </c>
      <c r="D321" s="281" t="s">
        <v>375</v>
      </c>
      <c r="E321" s="281" t="s">
        <v>717</v>
      </c>
      <c r="G321" s="89" t="s">
        <v>494</v>
      </c>
      <c r="H321" s="89" t="s">
        <v>494</v>
      </c>
      <c r="I321" s="335">
        <v>100</v>
      </c>
      <c r="L321" s="339" t="s">
        <v>771</v>
      </c>
    </row>
    <row r="322" spans="2:13" outlineLevel="1" x14ac:dyDescent="0.3"/>
    <row r="323" spans="2:13" ht="13.5" outlineLevel="1" x14ac:dyDescent="0.35">
      <c r="B323" s="31" t="s">
        <v>730</v>
      </c>
      <c r="C323" s="31"/>
      <c r="D323" s="31"/>
      <c r="E323" s="31"/>
      <c r="F323" s="31"/>
      <c r="G323" s="31"/>
      <c r="H323" s="31"/>
      <c r="I323" s="31"/>
      <c r="J323" s="31"/>
      <c r="K323" s="404"/>
      <c r="L323" s="404"/>
      <c r="M323" s="31"/>
    </row>
    <row r="324" spans="2:13" outlineLevel="2" x14ac:dyDescent="0.3"/>
    <row r="325" spans="2:13" ht="12.5" outlineLevel="2" x14ac:dyDescent="0.25">
      <c r="C325" s="8" t="s">
        <v>89</v>
      </c>
      <c r="D325" s="281" t="s">
        <v>328</v>
      </c>
      <c r="E325" s="281" t="s">
        <v>708</v>
      </c>
      <c r="G325" s="335">
        <v>3</v>
      </c>
      <c r="H325" s="335">
        <v>0</v>
      </c>
      <c r="I325" s="335">
        <v>33</v>
      </c>
    </row>
    <row r="326" spans="2:13" ht="12.5" outlineLevel="2" x14ac:dyDescent="0.25">
      <c r="C326" s="8" t="s">
        <v>89</v>
      </c>
      <c r="D326" s="281" t="s">
        <v>330</v>
      </c>
      <c r="E326" s="281" t="s">
        <v>708</v>
      </c>
      <c r="G326" s="335">
        <v>16</v>
      </c>
      <c r="H326" s="335">
        <v>53</v>
      </c>
      <c r="I326" s="335">
        <v>246</v>
      </c>
    </row>
    <row r="327" spans="2:13" ht="12.5" outlineLevel="2" x14ac:dyDescent="0.25">
      <c r="C327" s="8" t="s">
        <v>91</v>
      </c>
      <c r="D327" s="281" t="s">
        <v>343</v>
      </c>
      <c r="E327" s="281" t="s">
        <v>709</v>
      </c>
      <c r="G327" s="335">
        <v>156</v>
      </c>
      <c r="H327" s="335">
        <v>156</v>
      </c>
      <c r="I327" s="335">
        <v>659</v>
      </c>
    </row>
    <row r="328" spans="2:13" ht="12.5" outlineLevel="2" x14ac:dyDescent="0.25">
      <c r="C328" s="8" t="s">
        <v>98</v>
      </c>
      <c r="D328" s="281" t="s">
        <v>353</v>
      </c>
      <c r="E328" s="281" t="s">
        <v>710</v>
      </c>
      <c r="G328" s="335">
        <v>80.599999999999994</v>
      </c>
      <c r="H328" s="335">
        <v>50.5</v>
      </c>
      <c r="I328" s="335">
        <v>159.5</v>
      </c>
    </row>
    <row r="329" spans="2:13" ht="12.5" outlineLevel="2" x14ac:dyDescent="0.25">
      <c r="C329" s="8" t="s">
        <v>98</v>
      </c>
      <c r="D329" s="281" t="s">
        <v>718</v>
      </c>
      <c r="E329" s="281" t="s">
        <v>711</v>
      </c>
      <c r="G329" s="335">
        <v>210.5</v>
      </c>
      <c r="H329" s="335">
        <v>322.89999999999998</v>
      </c>
      <c r="I329" s="335">
        <v>365.48</v>
      </c>
    </row>
    <row r="330" spans="2:13" ht="12.5" outlineLevel="2" x14ac:dyDescent="0.25">
      <c r="C330" s="8" t="s">
        <v>98</v>
      </c>
      <c r="D330" s="281" t="s">
        <v>355</v>
      </c>
      <c r="E330" s="281" t="s">
        <v>712</v>
      </c>
      <c r="G330" s="335">
        <v>120.75</v>
      </c>
      <c r="H330" s="335">
        <v>178.93</v>
      </c>
      <c r="I330" s="335">
        <v>338.52</v>
      </c>
    </row>
    <row r="331" spans="2:13" ht="12.5" outlineLevel="2" x14ac:dyDescent="0.25">
      <c r="C331" s="8" t="s">
        <v>96</v>
      </c>
      <c r="D331" s="281" t="s">
        <v>349</v>
      </c>
      <c r="E331" s="281" t="s">
        <v>713</v>
      </c>
      <c r="G331" s="335">
        <v>0</v>
      </c>
      <c r="H331" s="335">
        <v>0</v>
      </c>
      <c r="I331" s="335">
        <v>59.3</v>
      </c>
    </row>
    <row r="332" spans="2:13" ht="12.5" outlineLevel="2" x14ac:dyDescent="0.25">
      <c r="C332" s="8" t="s">
        <v>100</v>
      </c>
      <c r="D332" s="281" t="s">
        <v>368</v>
      </c>
      <c r="E332" s="281" t="s">
        <v>714</v>
      </c>
      <c r="G332" s="335">
        <v>23</v>
      </c>
      <c r="H332" s="335">
        <v>38</v>
      </c>
      <c r="I332" s="335">
        <v>70</v>
      </c>
    </row>
    <row r="333" spans="2:13" ht="12.5" outlineLevel="2" x14ac:dyDescent="0.25">
      <c r="C333" s="8" t="s">
        <v>100</v>
      </c>
      <c r="D333" s="281" t="s">
        <v>364</v>
      </c>
      <c r="E333" s="281" t="s">
        <v>715</v>
      </c>
      <c r="G333" s="335">
        <v>78</v>
      </c>
      <c r="H333" s="335">
        <v>111</v>
      </c>
      <c r="I333" s="335">
        <v>111</v>
      </c>
    </row>
    <row r="334" spans="2:13" ht="12.5" outlineLevel="2" x14ac:dyDescent="0.25">
      <c r="C334" s="8" t="s">
        <v>102</v>
      </c>
      <c r="D334" s="281" t="s">
        <v>381</v>
      </c>
      <c r="E334" s="281" t="s">
        <v>716</v>
      </c>
      <c r="G334" s="335">
        <v>0</v>
      </c>
      <c r="H334" s="335">
        <v>0</v>
      </c>
      <c r="I334" s="335">
        <v>352</v>
      </c>
    </row>
    <row r="335" spans="2:13" ht="12.5" outlineLevel="2" x14ac:dyDescent="0.25">
      <c r="C335" s="8" t="s">
        <v>102</v>
      </c>
      <c r="D335" s="281" t="s">
        <v>375</v>
      </c>
      <c r="E335" s="281" t="s">
        <v>717</v>
      </c>
      <c r="G335" s="335">
        <v>0</v>
      </c>
      <c r="H335" s="335">
        <v>40</v>
      </c>
      <c r="I335" s="335">
        <v>107</v>
      </c>
    </row>
    <row r="337" spans="2:13" ht="13.5" x14ac:dyDescent="0.35">
      <c r="B337" s="9" t="s">
        <v>719</v>
      </c>
      <c r="C337" s="9"/>
      <c r="D337" s="10"/>
      <c r="E337" s="10"/>
      <c r="F337" s="9"/>
      <c r="G337" s="9"/>
      <c r="H337" s="9"/>
      <c r="I337" s="9"/>
      <c r="J337" s="9"/>
      <c r="K337" s="56"/>
      <c r="L337" s="56"/>
      <c r="M337" s="9"/>
    </row>
    <row r="338" spans="2:13" outlineLevel="1" x14ac:dyDescent="0.3">
      <c r="K338" s="47"/>
      <c r="L338" s="47"/>
    </row>
    <row r="339" spans="2:13" ht="13.5" outlineLevel="1" x14ac:dyDescent="0.35">
      <c r="B339" s="31" t="s">
        <v>720</v>
      </c>
      <c r="C339" s="31"/>
      <c r="D339" s="31"/>
      <c r="E339" s="31"/>
      <c r="F339" s="31"/>
      <c r="G339" s="31"/>
      <c r="H339" s="31"/>
      <c r="I339" s="31"/>
      <c r="J339" s="31"/>
      <c r="K339" s="157"/>
      <c r="L339" s="340" t="s">
        <v>773</v>
      </c>
      <c r="M339" s="31"/>
    </row>
    <row r="340" spans="2:13" outlineLevel="2" x14ac:dyDescent="0.3"/>
    <row r="341" spans="2:13" ht="12.5" outlineLevel="2" x14ac:dyDescent="0.25">
      <c r="C341" s="8" t="s">
        <v>106</v>
      </c>
      <c r="D341" s="281" t="s">
        <v>287</v>
      </c>
      <c r="E341" s="281" t="s">
        <v>728</v>
      </c>
      <c r="G341" s="71">
        <v>17651</v>
      </c>
      <c r="H341" s="71">
        <v>17652</v>
      </c>
      <c r="I341" s="71">
        <v>17653</v>
      </c>
      <c r="L341" s="339" t="s">
        <v>771</v>
      </c>
    </row>
    <row r="342" spans="2:13" ht="12.5" outlineLevel="2" x14ac:dyDescent="0.25">
      <c r="C342" s="8" t="s">
        <v>108</v>
      </c>
      <c r="D342" s="281" t="s">
        <v>299</v>
      </c>
      <c r="E342" s="281" t="s">
        <v>721</v>
      </c>
      <c r="G342" s="71">
        <v>50</v>
      </c>
      <c r="H342" s="71">
        <v>75</v>
      </c>
      <c r="I342" s="71">
        <v>90</v>
      </c>
      <c r="L342" s="339" t="s">
        <v>771</v>
      </c>
    </row>
    <row r="343" spans="2:13" ht="12.5" outlineLevel="2" x14ac:dyDescent="0.25">
      <c r="C343" s="8" t="s">
        <v>114</v>
      </c>
      <c r="D343" s="281" t="s">
        <v>324</v>
      </c>
      <c r="E343" s="281" t="s">
        <v>722</v>
      </c>
      <c r="G343" s="71">
        <v>106</v>
      </c>
      <c r="H343" s="71">
        <v>116</v>
      </c>
      <c r="I343" s="71">
        <v>116</v>
      </c>
      <c r="L343" s="339" t="s">
        <v>771</v>
      </c>
    </row>
    <row r="344" spans="2:13" ht="12.5" outlineLevel="2" x14ac:dyDescent="0.25">
      <c r="C344" s="8" t="s">
        <v>89</v>
      </c>
      <c r="D344" s="281" t="s">
        <v>727</v>
      </c>
      <c r="E344" s="281" t="s">
        <v>723</v>
      </c>
      <c r="G344" s="89" t="s">
        <v>494</v>
      </c>
      <c r="H344" s="89" t="s">
        <v>494</v>
      </c>
      <c r="I344" s="71">
        <v>409</v>
      </c>
      <c r="L344" s="339" t="s">
        <v>771</v>
      </c>
    </row>
    <row r="345" spans="2:13" ht="12.5" outlineLevel="2" x14ac:dyDescent="0.25">
      <c r="C345" s="8" t="s">
        <v>91</v>
      </c>
      <c r="D345" s="281" t="s">
        <v>343</v>
      </c>
      <c r="E345" s="281" t="s">
        <v>709</v>
      </c>
      <c r="G345" s="89" t="s">
        <v>494</v>
      </c>
      <c r="H345" s="89" t="s">
        <v>494</v>
      </c>
      <c r="I345" s="71">
        <v>650</v>
      </c>
      <c r="L345" s="339" t="s">
        <v>771</v>
      </c>
    </row>
    <row r="346" spans="2:13" ht="12.5" outlineLevel="2" x14ac:dyDescent="0.25">
      <c r="C346" s="8" t="s">
        <v>100</v>
      </c>
      <c r="D346" s="281" t="s">
        <v>363</v>
      </c>
      <c r="E346" s="281" t="s">
        <v>724</v>
      </c>
      <c r="G346" s="71">
        <v>80</v>
      </c>
      <c r="H346" s="71">
        <v>90</v>
      </c>
      <c r="I346" s="71">
        <v>100</v>
      </c>
      <c r="L346" s="339" t="s">
        <v>771</v>
      </c>
    </row>
    <row r="347" spans="2:13" ht="12.5" outlineLevel="2" x14ac:dyDescent="0.25">
      <c r="C347" s="8" t="s">
        <v>102</v>
      </c>
      <c r="D347" s="281" t="s">
        <v>376</v>
      </c>
      <c r="E347" s="281" t="s">
        <v>725</v>
      </c>
      <c r="G347" s="89" t="s">
        <v>494</v>
      </c>
      <c r="H347" s="89" t="s">
        <v>494</v>
      </c>
      <c r="I347" s="71">
        <v>11736</v>
      </c>
      <c r="L347" s="339" t="s">
        <v>771</v>
      </c>
    </row>
    <row r="348" spans="2:13" ht="12.5" outlineLevel="2" x14ac:dyDescent="0.25">
      <c r="C348" s="8" t="s">
        <v>102</v>
      </c>
      <c r="D348" s="281" t="s">
        <v>377</v>
      </c>
      <c r="E348" s="281" t="s">
        <v>726</v>
      </c>
      <c r="G348" s="71">
        <v>95</v>
      </c>
      <c r="H348" s="71">
        <v>95</v>
      </c>
      <c r="I348" s="71">
        <v>95</v>
      </c>
      <c r="L348" s="339" t="s">
        <v>771</v>
      </c>
    </row>
    <row r="349" spans="2:13" outlineLevel="1" x14ac:dyDescent="0.3"/>
    <row r="350" spans="2:13" ht="13.5" outlineLevel="1" x14ac:dyDescent="0.35">
      <c r="B350" s="31" t="s">
        <v>731</v>
      </c>
      <c r="C350" s="31"/>
      <c r="D350" s="31"/>
      <c r="E350" s="31"/>
      <c r="F350" s="31"/>
      <c r="G350" s="31"/>
      <c r="H350" s="31"/>
      <c r="I350" s="31"/>
      <c r="J350" s="31"/>
      <c r="K350" s="404"/>
      <c r="L350" s="404"/>
      <c r="M350" s="31"/>
    </row>
    <row r="351" spans="2:13" outlineLevel="2" x14ac:dyDescent="0.3"/>
    <row r="352" spans="2:13" ht="12.5" outlineLevel="2" x14ac:dyDescent="0.25">
      <c r="C352" s="8" t="s">
        <v>106</v>
      </c>
      <c r="D352" s="281" t="s">
        <v>287</v>
      </c>
      <c r="E352" s="281" t="s">
        <v>728</v>
      </c>
      <c r="G352" s="71">
        <v>17657</v>
      </c>
      <c r="H352" s="71">
        <v>17668</v>
      </c>
      <c r="I352" s="71">
        <v>17670</v>
      </c>
    </row>
    <row r="353" spans="2:13" ht="12.5" outlineLevel="2" x14ac:dyDescent="0.25">
      <c r="C353" s="8" t="s">
        <v>108</v>
      </c>
      <c r="D353" s="281" t="s">
        <v>299</v>
      </c>
      <c r="E353" s="281" t="s">
        <v>721</v>
      </c>
      <c r="G353" s="71">
        <v>60</v>
      </c>
      <c r="H353" s="71">
        <v>80</v>
      </c>
      <c r="I353" s="71">
        <v>98</v>
      </c>
    </row>
    <row r="354" spans="2:13" ht="12.5" outlineLevel="2" x14ac:dyDescent="0.25">
      <c r="C354" s="8" t="s">
        <v>114</v>
      </c>
      <c r="D354" s="281" t="s">
        <v>324</v>
      </c>
      <c r="E354" s="281" t="s">
        <v>722</v>
      </c>
      <c r="G354" s="71">
        <v>119</v>
      </c>
      <c r="H354" s="71">
        <v>138</v>
      </c>
      <c r="I354" s="71">
        <v>169</v>
      </c>
    </row>
    <row r="355" spans="2:13" ht="12.5" outlineLevel="2" x14ac:dyDescent="0.25">
      <c r="C355" s="8" t="s">
        <v>89</v>
      </c>
      <c r="D355" s="281" t="s">
        <v>727</v>
      </c>
      <c r="E355" s="281" t="s">
        <v>723</v>
      </c>
      <c r="G355" s="71">
        <v>337</v>
      </c>
      <c r="H355" s="71">
        <v>343</v>
      </c>
      <c r="I355" s="71">
        <v>567</v>
      </c>
    </row>
    <row r="356" spans="2:13" ht="12.5" outlineLevel="2" x14ac:dyDescent="0.25">
      <c r="C356" s="8" t="s">
        <v>91</v>
      </c>
      <c r="D356" s="281" t="s">
        <v>343</v>
      </c>
      <c r="E356" s="281" t="s">
        <v>709</v>
      </c>
      <c r="G356" s="71">
        <v>156</v>
      </c>
      <c r="H356" s="71">
        <v>156</v>
      </c>
      <c r="I356" s="71">
        <v>659</v>
      </c>
    </row>
    <row r="357" spans="2:13" ht="12.5" outlineLevel="2" x14ac:dyDescent="0.25">
      <c r="C357" s="8" t="s">
        <v>100</v>
      </c>
      <c r="D357" s="281" t="s">
        <v>363</v>
      </c>
      <c r="E357" s="281" t="s">
        <v>724</v>
      </c>
      <c r="G357" s="71">
        <v>86</v>
      </c>
      <c r="H357" s="71">
        <v>96</v>
      </c>
      <c r="I357" s="71">
        <v>100</v>
      </c>
    </row>
    <row r="358" spans="2:13" ht="12.5" outlineLevel="2" x14ac:dyDescent="0.25">
      <c r="C358" s="83" t="s">
        <v>102</v>
      </c>
      <c r="D358" s="281" t="s">
        <v>376</v>
      </c>
      <c r="E358" s="281" t="s">
        <v>725</v>
      </c>
      <c r="G358" s="89" t="s">
        <v>494</v>
      </c>
      <c r="H358" s="89" t="s">
        <v>494</v>
      </c>
      <c r="I358" s="71">
        <v>11806</v>
      </c>
    </row>
    <row r="359" spans="2:13" ht="12.5" outlineLevel="2" x14ac:dyDescent="0.25">
      <c r="C359" s="8" t="s">
        <v>102</v>
      </c>
      <c r="D359" s="281" t="s">
        <v>377</v>
      </c>
      <c r="E359" s="281" t="s">
        <v>726</v>
      </c>
      <c r="G359" s="89" t="s">
        <v>494</v>
      </c>
      <c r="H359" s="89" t="s">
        <v>494</v>
      </c>
      <c r="I359" s="71">
        <v>100</v>
      </c>
    </row>
    <row r="361" spans="2:13" ht="13.5" x14ac:dyDescent="0.35">
      <c r="B361" s="9" t="s">
        <v>732</v>
      </c>
      <c r="C361" s="9"/>
      <c r="D361" s="10"/>
      <c r="E361" s="10"/>
      <c r="F361" s="9"/>
      <c r="G361" s="9"/>
      <c r="H361" s="9"/>
      <c r="I361" s="9"/>
      <c r="J361" s="9"/>
      <c r="K361" s="56"/>
      <c r="L361" s="56"/>
      <c r="M361" s="9"/>
    </row>
    <row r="362" spans="2:13" outlineLevel="1" x14ac:dyDescent="0.3">
      <c r="K362" s="47"/>
      <c r="L362" s="47"/>
    </row>
    <row r="363" spans="2:13" ht="13.5" outlineLevel="1" x14ac:dyDescent="0.35">
      <c r="B363" s="31" t="s">
        <v>733</v>
      </c>
      <c r="C363" s="31"/>
      <c r="D363" s="31"/>
      <c r="E363" s="31"/>
      <c r="F363" s="31"/>
      <c r="G363" s="31"/>
      <c r="H363" s="31"/>
      <c r="I363" s="31"/>
      <c r="J363" s="31"/>
      <c r="K363" s="157"/>
      <c r="L363" s="340" t="s">
        <v>773</v>
      </c>
      <c r="M363" s="31"/>
    </row>
    <row r="364" spans="2:13" outlineLevel="2" x14ac:dyDescent="0.3"/>
    <row r="365" spans="2:13" ht="12.5" outlineLevel="2" x14ac:dyDescent="0.25">
      <c r="C365" s="8" t="s">
        <v>80</v>
      </c>
      <c r="D365" s="281" t="s">
        <v>769</v>
      </c>
      <c r="E365" s="281" t="s">
        <v>735</v>
      </c>
      <c r="G365" s="89" t="s">
        <v>494</v>
      </c>
      <c r="H365" s="89" t="s">
        <v>494</v>
      </c>
      <c r="I365" s="71">
        <v>7</v>
      </c>
      <c r="L365" s="339" t="s">
        <v>771</v>
      </c>
    </row>
    <row r="366" spans="2:13" ht="12.5" outlineLevel="2" x14ac:dyDescent="0.25">
      <c r="C366" s="8" t="s">
        <v>80</v>
      </c>
      <c r="D366" s="281" t="s">
        <v>770</v>
      </c>
      <c r="E366" s="281" t="s">
        <v>736</v>
      </c>
      <c r="G366" s="89" t="s">
        <v>494</v>
      </c>
      <c r="H366" s="89" t="s">
        <v>494</v>
      </c>
      <c r="I366" s="71">
        <v>60</v>
      </c>
      <c r="L366" s="339" t="s">
        <v>771</v>
      </c>
    </row>
    <row r="367" spans="2:13" ht="12.5" outlineLevel="2" x14ac:dyDescent="0.25">
      <c r="C367" s="8" t="s">
        <v>85</v>
      </c>
      <c r="D367" s="281" t="s">
        <v>329</v>
      </c>
      <c r="E367" s="281" t="s">
        <v>737</v>
      </c>
      <c r="G367" s="89" t="s">
        <v>494</v>
      </c>
      <c r="H367" s="71">
        <v>1</v>
      </c>
      <c r="I367" s="71">
        <v>2</v>
      </c>
      <c r="L367" s="339" t="s">
        <v>768</v>
      </c>
    </row>
    <row r="368" spans="2:13" ht="12.5" outlineLevel="2" x14ac:dyDescent="0.25">
      <c r="C368" s="8" t="s">
        <v>85</v>
      </c>
      <c r="D368" s="281" t="s">
        <v>333</v>
      </c>
      <c r="E368" s="281" t="s">
        <v>738</v>
      </c>
      <c r="G368" s="89" t="s">
        <v>494</v>
      </c>
      <c r="H368" s="71">
        <v>1</v>
      </c>
      <c r="I368" s="71">
        <v>2</v>
      </c>
      <c r="L368" s="339" t="s">
        <v>768</v>
      </c>
    </row>
    <row r="369" spans="3:12" ht="12.5" outlineLevel="2" x14ac:dyDescent="0.25">
      <c r="C369" s="8" t="s">
        <v>85</v>
      </c>
      <c r="D369" s="281" t="s">
        <v>291</v>
      </c>
      <c r="E369" s="281" t="s">
        <v>739</v>
      </c>
      <c r="G369" s="89" t="s">
        <v>494</v>
      </c>
      <c r="H369" s="71">
        <v>8049</v>
      </c>
      <c r="I369" s="71">
        <v>7535</v>
      </c>
      <c r="L369" s="339" t="s">
        <v>768</v>
      </c>
    </row>
    <row r="370" spans="3:12" ht="12.5" outlineLevel="2" x14ac:dyDescent="0.25">
      <c r="C370" s="8" t="s">
        <v>89</v>
      </c>
      <c r="D370" s="281" t="s">
        <v>329</v>
      </c>
      <c r="E370" s="281" t="s">
        <v>737</v>
      </c>
      <c r="G370" s="89" t="s">
        <v>494</v>
      </c>
      <c r="H370" s="71">
        <v>219</v>
      </c>
      <c r="I370" s="71">
        <v>214</v>
      </c>
      <c r="L370" s="339" t="s">
        <v>768</v>
      </c>
    </row>
    <row r="371" spans="3:12" ht="12.5" outlineLevel="2" x14ac:dyDescent="0.25">
      <c r="C371" s="8" t="s">
        <v>89</v>
      </c>
      <c r="D371" s="281" t="s">
        <v>333</v>
      </c>
      <c r="E371" s="281" t="s">
        <v>738</v>
      </c>
      <c r="G371" s="89" t="s">
        <v>494</v>
      </c>
      <c r="H371" s="71">
        <v>207</v>
      </c>
      <c r="I371" s="71">
        <v>210</v>
      </c>
      <c r="L371" s="339" t="s">
        <v>768</v>
      </c>
    </row>
    <row r="372" spans="3:12" ht="12.5" outlineLevel="2" x14ac:dyDescent="0.25">
      <c r="C372" s="8" t="s">
        <v>89</v>
      </c>
      <c r="D372" s="281" t="s">
        <v>291</v>
      </c>
      <c r="E372" s="281" t="s">
        <v>740</v>
      </c>
      <c r="G372" s="89" t="s">
        <v>494</v>
      </c>
      <c r="H372" s="71">
        <v>1646</v>
      </c>
      <c r="I372" s="71">
        <v>2192</v>
      </c>
      <c r="L372" s="339" t="s">
        <v>768</v>
      </c>
    </row>
    <row r="373" spans="3:12" ht="12.5" outlineLevel="2" x14ac:dyDescent="0.25">
      <c r="C373" s="8" t="s">
        <v>87</v>
      </c>
      <c r="D373" s="281" t="s">
        <v>767</v>
      </c>
      <c r="E373" s="281" t="s">
        <v>741</v>
      </c>
      <c r="G373" s="71">
        <v>172</v>
      </c>
      <c r="H373" s="71">
        <v>161</v>
      </c>
      <c r="I373" s="71">
        <v>150</v>
      </c>
      <c r="L373" s="339" t="s">
        <v>768</v>
      </c>
    </row>
    <row r="374" spans="3:12" ht="12.5" outlineLevel="2" x14ac:dyDescent="0.25">
      <c r="C374" s="8" t="s">
        <v>91</v>
      </c>
      <c r="D374" s="281" t="s">
        <v>305</v>
      </c>
      <c r="E374" s="281" t="s">
        <v>742</v>
      </c>
      <c r="G374" s="89" t="s">
        <v>494</v>
      </c>
      <c r="H374" s="89" t="s">
        <v>494</v>
      </c>
      <c r="I374" s="71">
        <v>530</v>
      </c>
      <c r="L374" s="339" t="s">
        <v>768</v>
      </c>
    </row>
    <row r="375" spans="3:12" ht="12.5" outlineLevel="2" x14ac:dyDescent="0.25">
      <c r="C375" s="8" t="s">
        <v>91</v>
      </c>
      <c r="D375" s="281" t="s">
        <v>336</v>
      </c>
      <c r="E375" s="281" t="s">
        <v>743</v>
      </c>
      <c r="G375" s="89" t="s">
        <v>494</v>
      </c>
      <c r="H375" s="89" t="s">
        <v>494</v>
      </c>
      <c r="I375" s="71">
        <v>48</v>
      </c>
      <c r="L375" s="339" t="s">
        <v>768</v>
      </c>
    </row>
    <row r="376" spans="3:12" ht="12.5" outlineLevel="2" x14ac:dyDescent="0.25">
      <c r="C376" s="8" t="s">
        <v>91</v>
      </c>
      <c r="D376" s="281" t="s">
        <v>340</v>
      </c>
      <c r="E376" s="281" t="s">
        <v>744</v>
      </c>
      <c r="G376" s="89" t="s">
        <v>494</v>
      </c>
      <c r="H376" s="89" t="s">
        <v>494</v>
      </c>
      <c r="I376" s="71">
        <v>102</v>
      </c>
      <c r="L376" s="339" t="s">
        <v>768</v>
      </c>
    </row>
    <row r="377" spans="3:12" ht="12.5" outlineLevel="2" x14ac:dyDescent="0.25">
      <c r="C377" s="8" t="s">
        <v>96</v>
      </c>
      <c r="D377" s="281" t="s">
        <v>344</v>
      </c>
      <c r="E377" s="281" t="s">
        <v>745</v>
      </c>
      <c r="G377" s="338">
        <v>166.1</v>
      </c>
      <c r="H377" s="338">
        <v>146.6</v>
      </c>
      <c r="I377" s="338">
        <v>151</v>
      </c>
      <c r="L377" s="339" t="s">
        <v>768</v>
      </c>
    </row>
    <row r="378" spans="3:12" ht="12.5" outlineLevel="2" x14ac:dyDescent="0.25">
      <c r="C378" s="8" t="s">
        <v>96</v>
      </c>
      <c r="D378" s="281" t="s">
        <v>347</v>
      </c>
      <c r="E378" s="281" t="s">
        <v>746</v>
      </c>
      <c r="G378" s="338">
        <v>290.5</v>
      </c>
      <c r="H378" s="338">
        <v>269.60000000000002</v>
      </c>
      <c r="I378" s="338">
        <v>270</v>
      </c>
      <c r="L378" s="339" t="s">
        <v>768</v>
      </c>
    </row>
    <row r="379" spans="3:12" ht="12.5" outlineLevel="2" x14ac:dyDescent="0.25">
      <c r="C379" s="8" t="s">
        <v>100</v>
      </c>
      <c r="D379" s="281" t="s">
        <v>369</v>
      </c>
      <c r="E379" s="281" t="s">
        <v>747</v>
      </c>
      <c r="G379" s="71">
        <v>122</v>
      </c>
      <c r="H379" s="71">
        <v>121</v>
      </c>
      <c r="I379" s="71">
        <v>119</v>
      </c>
      <c r="L379" s="339" t="s">
        <v>768</v>
      </c>
    </row>
    <row r="380" spans="3:12" ht="12.5" outlineLevel="2" x14ac:dyDescent="0.25">
      <c r="C380" s="8" t="s">
        <v>106</v>
      </c>
      <c r="D380" s="281" t="s">
        <v>286</v>
      </c>
      <c r="E380" s="281" t="s">
        <v>748</v>
      </c>
      <c r="G380" s="71">
        <v>23</v>
      </c>
      <c r="H380" s="71">
        <v>22</v>
      </c>
      <c r="I380" s="71">
        <v>20</v>
      </c>
      <c r="L380" s="339" t="s">
        <v>768</v>
      </c>
    </row>
    <row r="381" spans="3:12" ht="12.5" outlineLevel="2" x14ac:dyDescent="0.25">
      <c r="C381" s="8" t="s">
        <v>112</v>
      </c>
      <c r="D381" s="281" t="s">
        <v>312</v>
      </c>
      <c r="E381" s="281" t="s">
        <v>749</v>
      </c>
      <c r="G381" s="89" t="s">
        <v>494</v>
      </c>
      <c r="H381" s="89" t="s">
        <v>494</v>
      </c>
      <c r="I381" s="71">
        <v>37.700000000000003</v>
      </c>
      <c r="L381" s="339" t="s">
        <v>768</v>
      </c>
    </row>
    <row r="382" spans="3:12" ht="12.5" outlineLevel="2" x14ac:dyDescent="0.25">
      <c r="C382" s="8" t="s">
        <v>114</v>
      </c>
      <c r="D382" s="281" t="s">
        <v>325</v>
      </c>
      <c r="E382" s="281" t="s">
        <v>750</v>
      </c>
      <c r="G382" s="71">
        <v>2428</v>
      </c>
      <c r="H382" s="71">
        <v>3742</v>
      </c>
      <c r="I382" s="71">
        <v>5210</v>
      </c>
      <c r="L382" s="339" t="s">
        <v>771</v>
      </c>
    </row>
    <row r="383" spans="3:12" ht="12.5" outlineLevel="2" x14ac:dyDescent="0.25">
      <c r="C383" s="8" t="s">
        <v>110</v>
      </c>
      <c r="D383" s="281" t="s">
        <v>309</v>
      </c>
      <c r="E383" s="281" t="s">
        <v>751</v>
      </c>
      <c r="G383" s="71">
        <v>525</v>
      </c>
      <c r="H383" s="71">
        <v>525</v>
      </c>
      <c r="I383" s="71">
        <v>525</v>
      </c>
      <c r="L383" s="339" t="s">
        <v>768</v>
      </c>
    </row>
    <row r="384" spans="3:12" outlineLevel="1" x14ac:dyDescent="0.3"/>
    <row r="385" spans="2:13" ht="13.5" outlineLevel="1" x14ac:dyDescent="0.35">
      <c r="B385" s="31" t="s">
        <v>734</v>
      </c>
      <c r="C385" s="31"/>
      <c r="D385" s="31"/>
      <c r="E385" s="31"/>
      <c r="F385" s="31"/>
      <c r="G385" s="31"/>
      <c r="H385" s="31"/>
      <c r="I385" s="31"/>
      <c r="J385" s="31"/>
      <c r="K385" s="404"/>
      <c r="L385" s="404"/>
      <c r="M385" s="31"/>
    </row>
    <row r="386" spans="2:13" outlineLevel="2" x14ac:dyDescent="0.3"/>
    <row r="387" spans="2:13" ht="12.5" outlineLevel="2" x14ac:dyDescent="0.25">
      <c r="C387" s="8" t="s">
        <v>80</v>
      </c>
      <c r="D387" s="281" t="s">
        <v>769</v>
      </c>
      <c r="E387" s="281" t="s">
        <v>735</v>
      </c>
      <c r="G387" s="71">
        <v>19.600000000000001</v>
      </c>
      <c r="H387" s="71">
        <v>29</v>
      </c>
      <c r="I387" s="71">
        <v>34</v>
      </c>
    </row>
    <row r="388" spans="2:13" ht="12.5" outlineLevel="2" x14ac:dyDescent="0.25">
      <c r="C388" s="8" t="s">
        <v>80</v>
      </c>
      <c r="D388" s="281" t="s">
        <v>770</v>
      </c>
      <c r="E388" s="281" t="s">
        <v>736</v>
      </c>
      <c r="G388" s="71">
        <v>57</v>
      </c>
      <c r="H388" s="71">
        <v>58</v>
      </c>
      <c r="I388" s="71">
        <v>61</v>
      </c>
    </row>
    <row r="389" spans="2:13" ht="12.5" outlineLevel="2" x14ac:dyDescent="0.25">
      <c r="C389" s="8" t="s">
        <v>85</v>
      </c>
      <c r="D389" s="281" t="s">
        <v>329</v>
      </c>
      <c r="E389" s="281" t="s">
        <v>737</v>
      </c>
      <c r="G389" s="89" t="s">
        <v>494</v>
      </c>
      <c r="H389" s="71">
        <v>1</v>
      </c>
      <c r="I389" s="71">
        <v>3</v>
      </c>
    </row>
    <row r="390" spans="2:13" ht="12.5" outlineLevel="2" x14ac:dyDescent="0.25">
      <c r="C390" s="8" t="s">
        <v>85</v>
      </c>
      <c r="D390" s="281" t="s">
        <v>333</v>
      </c>
      <c r="E390" s="281" t="s">
        <v>738</v>
      </c>
      <c r="G390" s="89" t="s">
        <v>494</v>
      </c>
      <c r="H390" s="71">
        <v>1</v>
      </c>
      <c r="I390" s="71">
        <v>2</v>
      </c>
    </row>
    <row r="391" spans="2:13" ht="12.5" outlineLevel="2" x14ac:dyDescent="0.25">
      <c r="C391" s="8" t="s">
        <v>85</v>
      </c>
      <c r="D391" s="281" t="s">
        <v>291</v>
      </c>
      <c r="E391" s="281" t="s">
        <v>739</v>
      </c>
      <c r="G391" s="89" t="s">
        <v>494</v>
      </c>
      <c r="H391" s="71">
        <v>4987</v>
      </c>
      <c r="I391" s="71">
        <v>3950</v>
      </c>
    </row>
    <row r="392" spans="2:13" ht="12.5" outlineLevel="2" x14ac:dyDescent="0.25">
      <c r="C392" s="8" t="s">
        <v>89</v>
      </c>
      <c r="D392" s="281" t="s">
        <v>329</v>
      </c>
      <c r="E392" s="281" t="s">
        <v>737</v>
      </c>
      <c r="G392" s="71">
        <v>256</v>
      </c>
      <c r="H392" s="71">
        <v>219</v>
      </c>
      <c r="I392" s="71">
        <v>213</v>
      </c>
    </row>
    <row r="393" spans="2:13" ht="12.5" outlineLevel="2" x14ac:dyDescent="0.25">
      <c r="C393" s="8" t="s">
        <v>89</v>
      </c>
      <c r="D393" s="281" t="s">
        <v>333</v>
      </c>
      <c r="E393" s="281" t="s">
        <v>738</v>
      </c>
      <c r="G393" s="71">
        <v>206</v>
      </c>
      <c r="H393" s="71">
        <v>204</v>
      </c>
      <c r="I393" s="71">
        <v>211</v>
      </c>
    </row>
    <row r="394" spans="2:13" ht="12.5" outlineLevel="2" x14ac:dyDescent="0.25">
      <c r="C394" s="8" t="s">
        <v>89</v>
      </c>
      <c r="D394" s="281" t="s">
        <v>291</v>
      </c>
      <c r="E394" s="281" t="s">
        <v>740</v>
      </c>
      <c r="G394" s="89" t="s">
        <v>494</v>
      </c>
      <c r="H394" s="71">
        <v>951</v>
      </c>
      <c r="I394" s="71">
        <v>1285</v>
      </c>
    </row>
    <row r="395" spans="2:13" ht="12.5" outlineLevel="2" x14ac:dyDescent="0.25">
      <c r="C395" s="8" t="s">
        <v>87</v>
      </c>
      <c r="D395" s="281" t="s">
        <v>767</v>
      </c>
      <c r="E395" s="281" t="s">
        <v>741</v>
      </c>
      <c r="G395" s="71">
        <v>164</v>
      </c>
      <c r="H395" s="71">
        <v>148</v>
      </c>
      <c r="I395" s="71">
        <v>139</v>
      </c>
    </row>
    <row r="396" spans="2:13" ht="12.5" outlineLevel="2" x14ac:dyDescent="0.25">
      <c r="C396" s="8" t="s">
        <v>91</v>
      </c>
      <c r="D396" s="281" t="s">
        <v>305</v>
      </c>
      <c r="E396" s="281" t="s">
        <v>742</v>
      </c>
      <c r="G396" s="71">
        <v>604.92999999999995</v>
      </c>
      <c r="H396" s="71">
        <v>617.73384965961998</v>
      </c>
      <c r="I396" s="71">
        <v>615.67999999999995</v>
      </c>
    </row>
    <row r="397" spans="2:13" ht="12.5" outlineLevel="2" x14ac:dyDescent="0.25">
      <c r="C397" s="8" t="s">
        <v>91</v>
      </c>
      <c r="D397" s="281" t="s">
        <v>336</v>
      </c>
      <c r="E397" s="281" t="s">
        <v>743</v>
      </c>
      <c r="G397" s="71">
        <v>57</v>
      </c>
      <c r="H397" s="71">
        <v>56.6</v>
      </c>
      <c r="I397" s="71">
        <v>46.4</v>
      </c>
    </row>
    <row r="398" spans="2:13" ht="12.5" outlineLevel="2" x14ac:dyDescent="0.25">
      <c r="C398" s="8" t="s">
        <v>91</v>
      </c>
      <c r="D398" s="281" t="s">
        <v>340</v>
      </c>
      <c r="E398" s="281" t="s">
        <v>744</v>
      </c>
      <c r="G398" s="71">
        <v>83.2</v>
      </c>
      <c r="H398" s="71">
        <v>68.7</v>
      </c>
      <c r="I398" s="71">
        <v>71.5</v>
      </c>
    </row>
    <row r="399" spans="2:13" ht="12.5" outlineLevel="2" x14ac:dyDescent="0.25">
      <c r="C399" s="8" t="s">
        <v>96</v>
      </c>
      <c r="D399" s="281" t="s">
        <v>344</v>
      </c>
      <c r="E399" s="281" t="s">
        <v>745</v>
      </c>
      <c r="G399" s="71">
        <v>46.2</v>
      </c>
      <c r="H399" s="71">
        <v>45.7</v>
      </c>
      <c r="I399" s="71">
        <v>40.5</v>
      </c>
    </row>
    <row r="400" spans="2:13" ht="12.5" outlineLevel="2" x14ac:dyDescent="0.25">
      <c r="C400" s="8" t="s">
        <v>96</v>
      </c>
      <c r="D400" s="281" t="s">
        <v>347</v>
      </c>
      <c r="E400" s="281" t="s">
        <v>746</v>
      </c>
      <c r="G400" s="71">
        <v>231.7</v>
      </c>
      <c r="H400" s="71">
        <v>230</v>
      </c>
      <c r="I400" s="71">
        <v>217.4</v>
      </c>
    </row>
    <row r="401" spans="2:13" ht="12.5" outlineLevel="2" x14ac:dyDescent="0.25">
      <c r="C401" s="8" t="s">
        <v>100</v>
      </c>
      <c r="D401" s="281" t="s">
        <v>369</v>
      </c>
      <c r="E401" s="281" t="s">
        <v>747</v>
      </c>
      <c r="G401" s="71">
        <v>122</v>
      </c>
      <c r="H401" s="71">
        <v>118</v>
      </c>
      <c r="I401" s="71">
        <v>117</v>
      </c>
    </row>
    <row r="402" spans="2:13" ht="12.5" outlineLevel="2" x14ac:dyDescent="0.25">
      <c r="C402" s="8" t="s">
        <v>106</v>
      </c>
      <c r="D402" s="281" t="s">
        <v>286</v>
      </c>
      <c r="E402" s="281" t="s">
        <v>748</v>
      </c>
      <c r="G402" s="71">
        <v>28.35</v>
      </c>
      <c r="H402" s="71">
        <v>22.81</v>
      </c>
      <c r="I402" s="71">
        <v>19</v>
      </c>
    </row>
    <row r="403" spans="2:13" ht="12.5" outlineLevel="2" x14ac:dyDescent="0.25">
      <c r="C403" s="8" t="s">
        <v>112</v>
      </c>
      <c r="D403" s="281" t="s">
        <v>312</v>
      </c>
      <c r="E403" s="281" t="s">
        <v>749</v>
      </c>
      <c r="G403" s="71">
        <v>37.200000000000003</v>
      </c>
      <c r="H403" s="71">
        <v>36.299999999999997</v>
      </c>
      <c r="I403" s="71">
        <v>35.9</v>
      </c>
    </row>
    <row r="404" spans="2:13" ht="12.5" outlineLevel="2" x14ac:dyDescent="0.25">
      <c r="C404" s="8" t="s">
        <v>114</v>
      </c>
      <c r="D404" s="281" t="s">
        <v>325</v>
      </c>
      <c r="E404" s="281" t="s">
        <v>750</v>
      </c>
      <c r="G404" s="71">
        <v>550</v>
      </c>
      <c r="H404" s="71">
        <v>635</v>
      </c>
      <c r="I404" s="71">
        <v>716</v>
      </c>
    </row>
    <row r="405" spans="2:13" ht="12.5" outlineLevel="2" x14ac:dyDescent="0.25">
      <c r="C405" s="8" t="s">
        <v>110</v>
      </c>
      <c r="D405" s="281" t="s">
        <v>309</v>
      </c>
      <c r="E405" s="281" t="s">
        <v>751</v>
      </c>
      <c r="G405" s="71">
        <v>376</v>
      </c>
      <c r="H405" s="71">
        <v>91</v>
      </c>
      <c r="I405" s="71">
        <v>56</v>
      </c>
    </row>
    <row r="407" spans="2:13" ht="13.5" x14ac:dyDescent="0.35">
      <c r="B407" s="9" t="s">
        <v>752</v>
      </c>
      <c r="C407" s="9"/>
      <c r="D407" s="10"/>
      <c r="E407" s="10"/>
      <c r="F407" s="9"/>
      <c r="G407" s="9"/>
      <c r="H407" s="9"/>
      <c r="I407" s="9"/>
      <c r="J407" s="9"/>
      <c r="K407" s="56"/>
      <c r="L407" s="56"/>
      <c r="M407" s="9"/>
    </row>
    <row r="408" spans="2:13" outlineLevel="1" x14ac:dyDescent="0.3">
      <c r="K408" s="47"/>
      <c r="L408" s="47"/>
    </row>
    <row r="409" spans="2:13" ht="13.5" outlineLevel="1" x14ac:dyDescent="0.35">
      <c r="B409" s="31" t="s">
        <v>753</v>
      </c>
      <c r="C409" s="31"/>
      <c r="D409" s="31"/>
      <c r="E409" s="31"/>
      <c r="F409" s="31"/>
      <c r="G409" s="31"/>
      <c r="H409" s="31"/>
      <c r="I409" s="31"/>
      <c r="J409" s="31"/>
      <c r="K409" s="157"/>
      <c r="L409" s="340" t="s">
        <v>773</v>
      </c>
      <c r="M409" s="31"/>
    </row>
    <row r="410" spans="2:13" outlineLevel="2" x14ac:dyDescent="0.3"/>
    <row r="411" spans="2:13" ht="12.5" outlineLevel="2" x14ac:dyDescent="0.25">
      <c r="C411" s="8" t="s">
        <v>82</v>
      </c>
      <c r="D411" s="281" t="s">
        <v>360</v>
      </c>
      <c r="E411" s="281" t="s">
        <v>755</v>
      </c>
      <c r="G411" s="69">
        <v>12.45</v>
      </c>
      <c r="H411" s="69">
        <v>15.11</v>
      </c>
      <c r="I411" s="69">
        <v>17.78</v>
      </c>
      <c r="L411" s="339" t="s">
        <v>771</v>
      </c>
    </row>
    <row r="412" spans="2:13" ht="12.5" outlineLevel="2" x14ac:dyDescent="0.25">
      <c r="C412" s="8" t="s">
        <v>82</v>
      </c>
      <c r="D412" s="281" t="s">
        <v>360</v>
      </c>
      <c r="E412" s="281" t="s">
        <v>756</v>
      </c>
      <c r="G412" s="69">
        <v>57.55</v>
      </c>
      <c r="H412" s="69">
        <v>69.89</v>
      </c>
      <c r="I412" s="69">
        <v>82.22</v>
      </c>
      <c r="L412" s="339" t="s">
        <v>771</v>
      </c>
    </row>
    <row r="413" spans="2:13" ht="12.5" outlineLevel="2" x14ac:dyDescent="0.25">
      <c r="C413" s="8" t="s">
        <v>91</v>
      </c>
      <c r="D413" s="281" t="s">
        <v>337</v>
      </c>
      <c r="E413" s="281" t="s">
        <v>757</v>
      </c>
      <c r="G413" s="89" t="s">
        <v>494</v>
      </c>
      <c r="H413" s="89" t="s">
        <v>494</v>
      </c>
      <c r="I413" s="338">
        <v>12.2</v>
      </c>
      <c r="L413" s="339" t="s">
        <v>771</v>
      </c>
    </row>
    <row r="414" spans="2:13" ht="12.5" outlineLevel="2" x14ac:dyDescent="0.25">
      <c r="C414" s="8" t="s">
        <v>91</v>
      </c>
      <c r="D414" s="281" t="s">
        <v>341</v>
      </c>
      <c r="E414" s="281" t="s">
        <v>758</v>
      </c>
      <c r="G414" s="89" t="s">
        <v>494</v>
      </c>
      <c r="H414" s="89" t="s">
        <v>494</v>
      </c>
      <c r="I414" s="338">
        <v>7.8</v>
      </c>
      <c r="L414" s="339" t="s">
        <v>771</v>
      </c>
    </row>
    <row r="415" spans="2:13" ht="12.5" outlineLevel="2" x14ac:dyDescent="0.25">
      <c r="C415" s="8" t="s">
        <v>94</v>
      </c>
      <c r="D415" s="281" t="s">
        <v>317</v>
      </c>
      <c r="E415" s="281" t="s">
        <v>759</v>
      </c>
      <c r="G415" s="89" t="s">
        <v>494</v>
      </c>
      <c r="H415" s="89" t="s">
        <v>494</v>
      </c>
      <c r="I415" s="338">
        <v>16.5</v>
      </c>
      <c r="L415" s="339" t="s">
        <v>771</v>
      </c>
    </row>
    <row r="416" spans="2:13" ht="12.5" outlineLevel="2" x14ac:dyDescent="0.25">
      <c r="C416" s="8" t="s">
        <v>96</v>
      </c>
      <c r="D416" s="281" t="s">
        <v>346</v>
      </c>
      <c r="E416" s="281" t="s">
        <v>760</v>
      </c>
      <c r="G416" s="71">
        <v>472</v>
      </c>
      <c r="H416" s="71">
        <v>472</v>
      </c>
      <c r="I416" s="71">
        <v>476</v>
      </c>
      <c r="L416" s="339" t="s">
        <v>768</v>
      </c>
    </row>
    <row r="417" spans="2:13" ht="12.5" outlineLevel="2" x14ac:dyDescent="0.25">
      <c r="C417" s="8" t="s">
        <v>96</v>
      </c>
      <c r="D417" s="281" t="s">
        <v>350</v>
      </c>
      <c r="E417" s="281" t="s">
        <v>761</v>
      </c>
      <c r="G417" s="71">
        <v>329</v>
      </c>
      <c r="H417" s="71">
        <v>303</v>
      </c>
      <c r="I417" s="71">
        <v>295</v>
      </c>
      <c r="L417" s="339" t="s">
        <v>768</v>
      </c>
    </row>
    <row r="418" spans="2:13" ht="12.5" outlineLevel="2" x14ac:dyDescent="0.25">
      <c r="C418" s="8" t="s">
        <v>100</v>
      </c>
      <c r="D418" s="281" t="s">
        <v>370</v>
      </c>
      <c r="E418" s="281" t="s">
        <v>762</v>
      </c>
      <c r="G418" s="71">
        <v>22</v>
      </c>
      <c r="H418" s="71">
        <v>21</v>
      </c>
      <c r="I418" s="71">
        <v>24</v>
      </c>
      <c r="L418" s="339" t="s">
        <v>771</v>
      </c>
    </row>
    <row r="419" spans="2:13" ht="12.5" outlineLevel="2" x14ac:dyDescent="0.25">
      <c r="C419" s="8" t="s">
        <v>102</v>
      </c>
      <c r="D419" s="281" t="s">
        <v>772</v>
      </c>
      <c r="E419" s="281" t="s">
        <v>763</v>
      </c>
      <c r="G419" s="71">
        <v>12</v>
      </c>
      <c r="H419" s="71">
        <v>12</v>
      </c>
      <c r="I419" s="71">
        <v>12</v>
      </c>
      <c r="L419" s="339" t="s">
        <v>771</v>
      </c>
    </row>
    <row r="420" spans="2:13" ht="12.5" outlineLevel="2" x14ac:dyDescent="0.25">
      <c r="C420" s="8" t="s">
        <v>108</v>
      </c>
      <c r="D420" s="281" t="s">
        <v>300</v>
      </c>
      <c r="E420" s="281" t="s">
        <v>764</v>
      </c>
      <c r="G420" s="71">
        <v>6</v>
      </c>
      <c r="H420" s="71">
        <v>8</v>
      </c>
      <c r="I420" s="71">
        <v>10</v>
      </c>
      <c r="L420" s="339" t="s">
        <v>771</v>
      </c>
    </row>
    <row r="421" spans="2:13" outlineLevel="1" x14ac:dyDescent="0.3"/>
    <row r="422" spans="2:13" ht="13.5" outlineLevel="1" x14ac:dyDescent="0.35">
      <c r="B422" s="31" t="s">
        <v>754</v>
      </c>
      <c r="C422" s="31"/>
      <c r="D422" s="31"/>
      <c r="E422" s="31"/>
      <c r="F422" s="31"/>
      <c r="G422" s="31"/>
      <c r="H422" s="31"/>
      <c r="I422" s="31"/>
      <c r="J422" s="31"/>
      <c r="K422" s="404"/>
      <c r="L422" s="404"/>
      <c r="M422" s="31"/>
    </row>
    <row r="423" spans="2:13" outlineLevel="2" x14ac:dyDescent="0.3"/>
    <row r="424" spans="2:13" ht="12.5" outlineLevel="2" x14ac:dyDescent="0.25">
      <c r="C424" s="8" t="s">
        <v>82</v>
      </c>
      <c r="D424" s="281" t="s">
        <v>360</v>
      </c>
      <c r="E424" s="281" t="s">
        <v>755</v>
      </c>
      <c r="G424" s="71">
        <v>42.38</v>
      </c>
      <c r="H424" s="71">
        <v>32.590000000000003</v>
      </c>
      <c r="I424" s="71">
        <v>45.25</v>
      </c>
    </row>
    <row r="425" spans="2:13" ht="12.5" outlineLevel="2" x14ac:dyDescent="0.25">
      <c r="C425" s="8" t="s">
        <v>82</v>
      </c>
      <c r="D425" s="281" t="s">
        <v>360</v>
      </c>
      <c r="E425" s="281" t="s">
        <v>756</v>
      </c>
      <c r="G425" s="71">
        <v>55.51</v>
      </c>
      <c r="H425" s="71">
        <v>52.43</v>
      </c>
      <c r="I425" s="71">
        <v>76.73</v>
      </c>
    </row>
    <row r="426" spans="2:13" ht="12.5" outlineLevel="2" x14ac:dyDescent="0.25">
      <c r="C426" s="8" t="s">
        <v>91</v>
      </c>
      <c r="D426" s="281" t="s">
        <v>337</v>
      </c>
      <c r="E426" s="281" t="s">
        <v>757</v>
      </c>
      <c r="G426" s="71">
        <v>8.9700000000000006</v>
      </c>
      <c r="H426" s="71">
        <v>9.5</v>
      </c>
      <c r="I426" s="71">
        <v>15.8</v>
      </c>
    </row>
    <row r="427" spans="2:13" ht="12.5" outlineLevel="2" x14ac:dyDescent="0.25">
      <c r="C427" s="8" t="s">
        <v>91</v>
      </c>
      <c r="D427" s="281" t="s">
        <v>341</v>
      </c>
      <c r="E427" s="281" t="s">
        <v>758</v>
      </c>
      <c r="G427" s="71">
        <v>3.95</v>
      </c>
      <c r="H427" s="71">
        <v>5.4</v>
      </c>
      <c r="I427" s="71">
        <v>8.77</v>
      </c>
    </row>
    <row r="428" spans="2:13" ht="12.5" outlineLevel="2" x14ac:dyDescent="0.25">
      <c r="C428" s="8" t="s">
        <v>94</v>
      </c>
      <c r="D428" s="281" t="s">
        <v>317</v>
      </c>
      <c r="E428" s="281" t="s">
        <v>759</v>
      </c>
      <c r="G428" s="71">
        <v>17.2</v>
      </c>
      <c r="H428" s="71">
        <v>15.8</v>
      </c>
      <c r="I428" s="71">
        <v>16.100000000000001</v>
      </c>
    </row>
    <row r="429" spans="2:13" ht="12.5" outlineLevel="2" x14ac:dyDescent="0.25">
      <c r="C429" s="8" t="s">
        <v>96</v>
      </c>
      <c r="D429" s="281" t="s">
        <v>346</v>
      </c>
      <c r="E429" s="281" t="s">
        <v>760</v>
      </c>
      <c r="G429" s="71">
        <v>510</v>
      </c>
      <c r="H429" s="71">
        <v>520</v>
      </c>
      <c r="I429" s="71">
        <v>506</v>
      </c>
    </row>
    <row r="430" spans="2:13" ht="12.5" outlineLevel="2" x14ac:dyDescent="0.25">
      <c r="C430" s="8" t="s">
        <v>96</v>
      </c>
      <c r="D430" s="281" t="s">
        <v>350</v>
      </c>
      <c r="E430" s="281" t="s">
        <v>761</v>
      </c>
      <c r="G430" s="71">
        <v>431</v>
      </c>
      <c r="H430" s="71">
        <v>396</v>
      </c>
      <c r="I430" s="71">
        <v>383</v>
      </c>
    </row>
    <row r="431" spans="2:13" ht="12.5" outlineLevel="2" x14ac:dyDescent="0.25">
      <c r="C431" s="8" t="s">
        <v>100</v>
      </c>
      <c r="D431" s="281" t="s">
        <v>370</v>
      </c>
      <c r="E431" s="281" t="s">
        <v>762</v>
      </c>
      <c r="G431" s="71">
        <v>25.5</v>
      </c>
      <c r="H431" s="71">
        <v>25</v>
      </c>
      <c r="I431" s="71">
        <v>25</v>
      </c>
    </row>
    <row r="432" spans="2:13" ht="12.5" outlineLevel="2" x14ac:dyDescent="0.25">
      <c r="C432" s="8" t="s">
        <v>102</v>
      </c>
      <c r="D432" s="281" t="s">
        <v>772</v>
      </c>
      <c r="E432" s="281" t="s">
        <v>763</v>
      </c>
      <c r="G432" s="71">
        <v>11.44</v>
      </c>
      <c r="H432" s="71">
        <v>11</v>
      </c>
      <c r="I432" s="71">
        <v>15</v>
      </c>
    </row>
    <row r="433" spans="2:13" ht="12.5" outlineLevel="2" x14ac:dyDescent="0.25">
      <c r="C433" s="8" t="s">
        <v>108</v>
      </c>
      <c r="D433" s="281" t="s">
        <v>300</v>
      </c>
      <c r="E433" s="281" t="s">
        <v>764</v>
      </c>
      <c r="G433" s="98" t="s">
        <v>765</v>
      </c>
      <c r="H433" s="98" t="s">
        <v>765</v>
      </c>
      <c r="I433" s="98" t="s">
        <v>765</v>
      </c>
    </row>
    <row r="435" spans="2:13" x14ac:dyDescent="0.3">
      <c r="B435" s="17" t="s">
        <v>25</v>
      </c>
      <c r="C435" s="17"/>
      <c r="D435" s="74"/>
      <c r="E435" s="74"/>
      <c r="F435" s="17"/>
      <c r="G435" s="17"/>
      <c r="H435" s="17"/>
      <c r="I435" s="17"/>
      <c r="J435" s="17"/>
      <c r="K435" s="17"/>
      <c r="L435" s="17"/>
      <c r="M435" s="17"/>
    </row>
  </sheetData>
  <sortState ref="N297:V305">
    <sortCondition ref="N297:N305"/>
  </sortState>
  <mergeCells count="20">
    <mergeCell ref="K385:L385"/>
    <mergeCell ref="K422:L422"/>
    <mergeCell ref="K162:L162"/>
    <mergeCell ref="K187:L187"/>
    <mergeCell ref="K261:L261"/>
    <mergeCell ref="K350:L350"/>
    <mergeCell ref="K295:L295"/>
    <mergeCell ref="K323:L323"/>
    <mergeCell ref="K203:L203"/>
    <mergeCell ref="K221:L221"/>
    <mergeCell ref="K240:L240"/>
    <mergeCell ref="K115:L115"/>
    <mergeCell ref="K139:L139"/>
    <mergeCell ref="G2:I2"/>
    <mergeCell ref="K2:L2"/>
    <mergeCell ref="K7:L7"/>
    <mergeCell ref="K32:L32"/>
    <mergeCell ref="K93:L93"/>
    <mergeCell ref="K59:L59"/>
    <mergeCell ref="K75:L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185"/>
  <sheetViews>
    <sheetView showGridLines="0" workbookViewId="0">
      <pane ySplit="3" topLeftCell="A4" activePane="bottomLeft" state="frozen"/>
      <selection pane="bottomLeft"/>
    </sheetView>
  </sheetViews>
  <sheetFormatPr defaultColWidth="9" defaultRowHeight="13" x14ac:dyDescent="0.3"/>
  <cols>
    <col min="1" max="2" width="2.58203125" style="8" customWidth="1"/>
    <col min="3" max="3" width="23.08203125" style="8" bestFit="1" customWidth="1"/>
    <col min="4" max="4" width="9.83203125" style="11" customWidth="1"/>
    <col min="5" max="9" width="8" style="8" customWidth="1"/>
    <col min="10" max="10" width="2.58203125" style="8" customWidth="1"/>
    <col min="11" max="16384" width="9" style="8"/>
  </cols>
  <sheetData>
    <row r="2" spans="2:11" s="18" customFormat="1" x14ac:dyDescent="0.3">
      <c r="B2" s="19"/>
      <c r="C2" s="134" t="s">
        <v>384</v>
      </c>
      <c r="D2" s="135" t="s">
        <v>385</v>
      </c>
      <c r="E2" s="136" t="s">
        <v>175</v>
      </c>
      <c r="F2" s="136" t="s">
        <v>176</v>
      </c>
      <c r="G2" s="136" t="s">
        <v>177</v>
      </c>
      <c r="H2" s="136" t="s">
        <v>178</v>
      </c>
      <c r="I2" s="136" t="s">
        <v>151</v>
      </c>
      <c r="J2" s="21"/>
      <c r="K2" s="24"/>
    </row>
    <row r="3" spans="2:11" s="18" customFormat="1" x14ac:dyDescent="0.3">
      <c r="B3" s="25"/>
      <c r="C3" s="26" t="s">
        <v>386</v>
      </c>
      <c r="D3" s="26"/>
      <c r="E3" s="26">
        <v>3</v>
      </c>
      <c r="F3" s="26">
        <v>4</v>
      </c>
      <c r="G3" s="26">
        <v>5</v>
      </c>
      <c r="H3" s="26">
        <v>6</v>
      </c>
      <c r="I3" s="26">
        <v>7</v>
      </c>
      <c r="J3" s="23"/>
      <c r="K3" s="27"/>
    </row>
    <row r="5" spans="2:11" ht="13.5" x14ac:dyDescent="0.35">
      <c r="B5" s="9" t="s">
        <v>551</v>
      </c>
      <c r="C5" s="9"/>
      <c r="D5" s="10"/>
      <c r="E5" s="9"/>
      <c r="F5" s="9"/>
      <c r="G5" s="9"/>
      <c r="H5" s="9"/>
      <c r="I5" s="9"/>
      <c r="J5" s="9"/>
    </row>
    <row r="7" spans="2:11" ht="13.5" x14ac:dyDescent="0.35">
      <c r="B7" s="32" t="s">
        <v>552</v>
      </c>
      <c r="C7" s="32"/>
      <c r="D7" s="33"/>
      <c r="E7" s="32"/>
      <c r="F7" s="32"/>
      <c r="G7" s="32"/>
      <c r="H7" s="32"/>
      <c r="I7" s="32"/>
      <c r="J7" s="32"/>
    </row>
    <row r="9" spans="2:11" x14ac:dyDescent="0.3">
      <c r="C9" s="8" t="s">
        <v>80</v>
      </c>
      <c r="D9" s="11" t="s">
        <v>127</v>
      </c>
      <c r="E9" s="14">
        <f xml:space="preserve"> SUMIFS( 'INPUTS│Wholesale Totex'!E$9:E$43, 'INPUTS│Wholesale Totex'!$C$9:$C$43, $C9 )</f>
        <v>719.30962902928763</v>
      </c>
      <c r="F9" s="14">
        <f xml:space="preserve"> SUMIFS( 'INPUTS│Wholesale Totex'!F$9:F$43, 'INPUTS│Wholesale Totex'!$C$9:$C$43, $C9 )</f>
        <v>748.80366998198474</v>
      </c>
      <c r="G9" s="14">
        <f xml:space="preserve"> SUMIFS( 'INPUTS│Wholesale Totex'!G$9:G$43, 'INPUTS│Wholesale Totex'!$C$9:$C$43, $C9 )</f>
        <v>802.02027850058403</v>
      </c>
      <c r="H9" s="14">
        <f xml:space="preserve"> SUMIFS( 'INPUTS│Wholesale Totex'!H$9:H$43, 'INPUTS│Wholesale Totex'!$C$9:$C$43, $C9 )</f>
        <v>773.83681617019806</v>
      </c>
      <c r="I9" s="14">
        <f xml:space="preserve"> SUMIFS( 'INPUTS│Wholesale Totex'!I$9:I$43, 'INPUTS│Wholesale Totex'!$C$9:$C$43, $C9 )</f>
        <v>777.19900000000007</v>
      </c>
    </row>
    <row r="10" spans="2:11" x14ac:dyDescent="0.3">
      <c r="C10" s="8" t="s">
        <v>82</v>
      </c>
      <c r="D10" s="11" t="s">
        <v>127</v>
      </c>
      <c r="E10" s="14">
        <f xml:space="preserve"> SUMIFS( 'INPUTS│Wholesale Totex'!E$9:E$43, 'INPUTS│Wholesale Totex'!$C$9:$C$43, $C10 )</f>
        <v>430.89400000000001</v>
      </c>
      <c r="F10" s="14">
        <f xml:space="preserve"> SUMIFS( 'INPUTS│Wholesale Totex'!F$9:F$43, 'INPUTS│Wholesale Totex'!$C$9:$C$43, $C10 )</f>
        <v>539.63300000000004</v>
      </c>
      <c r="G10" s="14">
        <f xml:space="preserve"> SUMIFS( 'INPUTS│Wholesale Totex'!G$9:G$43, 'INPUTS│Wholesale Totex'!$C$9:$C$43, $C10 )</f>
        <v>575.13</v>
      </c>
      <c r="H10" s="14">
        <f xml:space="preserve"> SUMIFS( 'INPUTS│Wholesale Totex'!H$9:H$43, 'INPUTS│Wholesale Totex'!$C$9:$C$43, $C10 )</f>
        <v>602.82400000000007</v>
      </c>
      <c r="I10" s="14">
        <f xml:space="preserve"> SUMIFS( 'INPUTS│Wholesale Totex'!I$9:I$43, 'INPUTS│Wholesale Totex'!$C$9:$C$43, $C10 )</f>
        <v>566.1690000000001</v>
      </c>
    </row>
    <row r="11" spans="2:11" x14ac:dyDescent="0.3">
      <c r="C11" s="8" t="s">
        <v>85</v>
      </c>
      <c r="D11" s="11" t="s">
        <v>127</v>
      </c>
      <c r="E11" s="14">
        <f xml:space="preserve"> SUMIFS( 'INPUTS│Wholesale Totex'!E$9:E$43, 'INPUTS│Wholesale Totex'!$C$9:$C$43, $C11 )</f>
        <v>15.416000000000004</v>
      </c>
      <c r="F11" s="14">
        <f xml:space="preserve"> SUMIFS( 'INPUTS│Wholesale Totex'!F$9:F$43, 'INPUTS│Wholesale Totex'!$C$9:$C$43, $C11 )</f>
        <v>19.379000000000001</v>
      </c>
      <c r="G11" s="14">
        <f xml:space="preserve"> SUMIFS( 'INPUTS│Wholesale Totex'!G$9:G$43, 'INPUTS│Wholesale Totex'!$C$9:$C$43, $C11 )</f>
        <v>24.488</v>
      </c>
      <c r="H11" s="14">
        <f xml:space="preserve"> SUMIFS( 'INPUTS│Wholesale Totex'!H$9:H$43, 'INPUTS│Wholesale Totex'!$C$9:$C$43, $C11 )</f>
        <v>26.480999999999998</v>
      </c>
      <c r="I11" s="14">
        <f xml:space="preserve"> SUMIFS( 'INPUTS│Wholesale Totex'!I$9:I$43, 'INPUTS│Wholesale Totex'!$C$9:$C$43, $C11 )</f>
        <v>29.102</v>
      </c>
    </row>
    <row r="12" spans="2:11" x14ac:dyDescent="0.3">
      <c r="C12" s="8" t="s">
        <v>87</v>
      </c>
      <c r="D12" s="11" t="s">
        <v>127</v>
      </c>
      <c r="E12" s="14">
        <f xml:space="preserve"> SUMIFS( 'INPUTS│Wholesale Totex'!E$9:E$43, 'INPUTS│Wholesale Totex'!$C$9:$C$43, $C12 )</f>
        <v>410.14700000000005</v>
      </c>
      <c r="F12" s="14">
        <f xml:space="preserve"> SUMIFS( 'INPUTS│Wholesale Totex'!F$9:F$43, 'INPUTS│Wholesale Totex'!$C$9:$C$43, $C12 )</f>
        <v>396.10900000000004</v>
      </c>
      <c r="G12" s="14">
        <f xml:space="preserve"> SUMIFS( 'INPUTS│Wholesale Totex'!G$9:G$43, 'INPUTS│Wholesale Totex'!$C$9:$C$43, $C12 )</f>
        <v>443.43799999999999</v>
      </c>
      <c r="H12" s="14">
        <f xml:space="preserve"> SUMIFS( 'INPUTS│Wholesale Totex'!H$9:H$43, 'INPUTS│Wholesale Totex'!$C$9:$C$43, $C12 )</f>
        <v>467.52599999999995</v>
      </c>
      <c r="I12" s="14">
        <f xml:space="preserve"> SUMIFS( 'INPUTS│Wholesale Totex'!I$9:I$43, 'INPUTS│Wholesale Totex'!$C$9:$C$43, $C12 )</f>
        <v>434.63</v>
      </c>
    </row>
    <row r="13" spans="2:11" x14ac:dyDescent="0.3">
      <c r="C13" s="8" t="s">
        <v>89</v>
      </c>
      <c r="D13" s="11" t="s">
        <v>127</v>
      </c>
      <c r="E13" s="14">
        <f xml:space="preserve"> SUMIFS( 'INPUTS│Wholesale Totex'!E$9:E$43, 'INPUTS│Wholesale Totex'!$C$9:$C$43, $C13 )</f>
        <v>964.01</v>
      </c>
      <c r="F13" s="14">
        <f xml:space="preserve"> SUMIFS( 'INPUTS│Wholesale Totex'!F$9:F$43, 'INPUTS│Wholesale Totex'!$C$9:$C$43, $C13 )</f>
        <v>985.49700000000007</v>
      </c>
      <c r="G13" s="14">
        <f xml:space="preserve"> SUMIFS( 'INPUTS│Wholesale Totex'!G$9:G$43, 'INPUTS│Wholesale Totex'!$C$9:$C$43, $C13 )</f>
        <v>1075.5309999999999</v>
      </c>
      <c r="H13" s="14">
        <f xml:space="preserve"> SUMIFS( 'INPUTS│Wholesale Totex'!H$9:H$43, 'INPUTS│Wholesale Totex'!$C$9:$C$43, $C13 )</f>
        <v>1200.2470000000001</v>
      </c>
      <c r="I13" s="14">
        <f xml:space="preserve"> SUMIFS( 'INPUTS│Wholesale Totex'!I$9:I$43, 'INPUTS│Wholesale Totex'!$C$9:$C$43, $C13 )</f>
        <v>1249.8000000000002</v>
      </c>
    </row>
    <row r="14" spans="2:11" x14ac:dyDescent="0.3">
      <c r="C14" s="8" t="s">
        <v>91</v>
      </c>
      <c r="D14" s="11" t="s">
        <v>127</v>
      </c>
      <c r="E14" s="14">
        <f xml:space="preserve"> SUMIFS( 'INPUTS│Wholesale Totex'!E$9:E$43, 'INPUTS│Wholesale Totex'!$C$9:$C$43, $C14 )</f>
        <v>274.10000000000002</v>
      </c>
      <c r="F14" s="14">
        <f xml:space="preserve"> SUMIFS( 'INPUTS│Wholesale Totex'!F$9:F$43, 'INPUTS│Wholesale Totex'!$C$9:$C$43, $C14 )</f>
        <v>317.52499999999998</v>
      </c>
      <c r="G14" s="14">
        <f xml:space="preserve"> SUMIFS( 'INPUTS│Wholesale Totex'!G$9:G$43, 'INPUTS│Wholesale Totex'!$C$9:$C$43, $C14 )</f>
        <v>297.67200000000003</v>
      </c>
      <c r="H14" s="14">
        <f xml:space="preserve"> SUMIFS( 'INPUTS│Wholesale Totex'!H$9:H$43, 'INPUTS│Wholesale Totex'!$C$9:$C$43, $C14 )</f>
        <v>271.03100000000001</v>
      </c>
      <c r="I14" s="14">
        <f xml:space="preserve"> SUMIFS( 'INPUTS│Wholesale Totex'!I$9:I$43, 'INPUTS│Wholesale Totex'!$C$9:$C$43, $C14 )</f>
        <v>264.10300000000001</v>
      </c>
    </row>
    <row r="15" spans="2:11" x14ac:dyDescent="0.3">
      <c r="C15" s="8" t="s">
        <v>94</v>
      </c>
      <c r="D15" s="11" t="s">
        <v>127</v>
      </c>
      <c r="E15" s="14">
        <f xml:space="preserve"> SUMIFS( 'INPUTS│Wholesale Totex'!E$9:E$43, 'INPUTS│Wholesale Totex'!$C$9:$C$43, $C15 )</f>
        <v>413.47899999999998</v>
      </c>
      <c r="F15" s="14">
        <f xml:space="preserve"> SUMIFS( 'INPUTS│Wholesale Totex'!F$9:F$43, 'INPUTS│Wholesale Totex'!$C$9:$C$43, $C15 )</f>
        <v>470.17100000000005</v>
      </c>
      <c r="G15" s="14">
        <f xml:space="preserve"> SUMIFS( 'INPUTS│Wholesale Totex'!G$9:G$43, 'INPUTS│Wholesale Totex'!$C$9:$C$43, $C15 )</f>
        <v>549.97900000000004</v>
      </c>
      <c r="H15" s="14">
        <f xml:space="preserve"> SUMIFS( 'INPUTS│Wholesale Totex'!H$9:H$43, 'INPUTS│Wholesale Totex'!$C$9:$C$43, $C15 )</f>
        <v>565.33100000000002</v>
      </c>
      <c r="I15" s="14">
        <f xml:space="preserve"> SUMIFS( 'INPUTS│Wholesale Totex'!I$9:I$43, 'INPUTS│Wholesale Totex'!$C$9:$C$43, $C15 )</f>
        <v>614.41700000000003</v>
      </c>
    </row>
    <row r="16" spans="2:11" x14ac:dyDescent="0.3">
      <c r="C16" s="8" t="s">
        <v>96</v>
      </c>
      <c r="D16" s="11" t="s">
        <v>127</v>
      </c>
      <c r="E16" s="14">
        <f xml:space="preserve"> SUMIFS( 'INPUTS│Wholesale Totex'!E$9:E$43, 'INPUTS│Wholesale Totex'!$C$9:$C$43, $C16 )</f>
        <v>1694.2210160933671</v>
      </c>
      <c r="F16" s="14">
        <f xml:space="preserve"> SUMIFS( 'INPUTS│Wholesale Totex'!F$9:F$43, 'INPUTS│Wholesale Totex'!$C$9:$C$43, $C16 )</f>
        <v>1592.6835848098306</v>
      </c>
      <c r="G16" s="14">
        <f xml:space="preserve"> SUMIFS( 'INPUTS│Wholesale Totex'!G$9:G$43, 'INPUTS│Wholesale Totex'!$C$9:$C$43, $C16 )</f>
        <v>1596.6250000000002</v>
      </c>
      <c r="H16" s="14">
        <f xml:space="preserve"> SUMIFS( 'INPUTS│Wholesale Totex'!H$9:H$43, 'INPUTS│Wholesale Totex'!$C$9:$C$43, $C16 )</f>
        <v>1623.4610000000002</v>
      </c>
      <c r="I16" s="14">
        <f xml:space="preserve"> SUMIFS( 'INPUTS│Wholesale Totex'!I$9:I$43, 'INPUTS│Wholesale Totex'!$C$9:$C$43, $C16 )</f>
        <v>1557.7809999999999</v>
      </c>
    </row>
    <row r="17" spans="2:10" x14ac:dyDescent="0.3">
      <c r="C17" s="8" t="s">
        <v>98</v>
      </c>
      <c r="D17" s="11" t="s">
        <v>127</v>
      </c>
      <c r="E17" s="14">
        <f xml:space="preserve"> SUMIFS( 'INPUTS│Wholesale Totex'!E$9:E$43, 'INPUTS│Wholesale Totex'!$C$9:$C$43, $C17 )</f>
        <v>1153.4729868383031</v>
      </c>
      <c r="F17" s="14">
        <f xml:space="preserve"> SUMIFS( 'INPUTS│Wholesale Totex'!F$9:F$43, 'INPUTS│Wholesale Totex'!$C$9:$C$43, $C17 )</f>
        <v>1160.992180403347</v>
      </c>
      <c r="G17" s="14">
        <f xml:space="preserve"> SUMIFS( 'INPUTS│Wholesale Totex'!G$9:G$43, 'INPUTS│Wholesale Totex'!$C$9:$C$43, $C17 )</f>
        <v>1137.7001047195899</v>
      </c>
      <c r="H17" s="14">
        <f xml:space="preserve"> SUMIFS( 'INPUTS│Wholesale Totex'!H$9:H$43, 'INPUTS│Wholesale Totex'!$C$9:$C$43, $C17 )</f>
        <v>1141.2073166654159</v>
      </c>
      <c r="I17" s="14">
        <f xml:space="preserve"> SUMIFS( 'INPUTS│Wholesale Totex'!I$9:I$43, 'INPUTS│Wholesale Totex'!$C$9:$C$43, $C17 )</f>
        <v>1046.8558799398388</v>
      </c>
    </row>
    <row r="18" spans="2:10" x14ac:dyDescent="0.3">
      <c r="C18" s="8" t="s">
        <v>100</v>
      </c>
      <c r="D18" s="11" t="s">
        <v>127</v>
      </c>
      <c r="E18" s="14">
        <f xml:space="preserve"> SUMIFS( 'INPUTS│Wholesale Totex'!E$9:E$43, 'INPUTS│Wholesale Totex'!$C$9:$C$43, $C18 )</f>
        <v>304.44145257215308</v>
      </c>
      <c r="F18" s="14">
        <f xml:space="preserve"> SUMIFS( 'INPUTS│Wholesale Totex'!F$9:F$43, 'INPUTS│Wholesale Totex'!$C$9:$C$43, $C18 )</f>
        <v>306.50854742784702</v>
      </c>
      <c r="G18" s="14">
        <f xml:space="preserve"> SUMIFS( 'INPUTS│Wholesale Totex'!G$9:G$43, 'INPUTS│Wholesale Totex'!$C$9:$C$43, $C18 )</f>
        <v>338.42899999999997</v>
      </c>
      <c r="H18" s="14">
        <f xml:space="preserve"> SUMIFS( 'INPUTS│Wholesale Totex'!H$9:H$43, 'INPUTS│Wholesale Totex'!$C$9:$C$43, $C18 )</f>
        <v>333.91841650377802</v>
      </c>
      <c r="I18" s="14">
        <f xml:space="preserve"> SUMIFS( 'INPUTS│Wholesale Totex'!I$9:I$43, 'INPUTS│Wholesale Totex'!$C$9:$C$43, $C18 )</f>
        <v>339.15113345563401</v>
      </c>
    </row>
    <row r="19" spans="2:10" x14ac:dyDescent="0.3">
      <c r="C19" s="8" t="s">
        <v>102</v>
      </c>
      <c r="D19" s="11" t="s">
        <v>127</v>
      </c>
      <c r="E19" s="14">
        <f xml:space="preserve"> SUMIFS( 'INPUTS│Wholesale Totex'!E$9:E$43, 'INPUTS│Wholesale Totex'!$C$9:$C$43, $C19 )</f>
        <v>562.29300000000001</v>
      </c>
      <c r="F19" s="14">
        <f xml:space="preserve"> SUMIFS( 'INPUTS│Wholesale Totex'!F$9:F$43, 'INPUTS│Wholesale Totex'!$C$9:$C$43, $C19 )</f>
        <v>675.47900000000004</v>
      </c>
      <c r="G19" s="14">
        <f xml:space="preserve"> SUMIFS( 'INPUTS│Wholesale Totex'!G$9:G$43, 'INPUTS│Wholesale Totex'!$C$9:$C$43, $C19 )</f>
        <v>691.68600000000004</v>
      </c>
      <c r="H19" s="14">
        <f xml:space="preserve"> SUMIFS( 'INPUTS│Wholesale Totex'!H$9:H$43, 'INPUTS│Wholesale Totex'!$C$9:$C$43, $C19 )</f>
        <v>819.875</v>
      </c>
      <c r="I19" s="14">
        <f xml:space="preserve"> SUMIFS( 'INPUTS│Wholesale Totex'!I$9:I$43, 'INPUTS│Wholesale Totex'!$C$9:$C$43, $C19 )</f>
        <v>779.404</v>
      </c>
    </row>
    <row r="20" spans="2:10" x14ac:dyDescent="0.3">
      <c r="C20" s="8" t="s">
        <v>104</v>
      </c>
      <c r="D20" s="11" t="s">
        <v>127</v>
      </c>
      <c r="E20" s="14">
        <f xml:space="preserve"> SUMIFS( 'INPUTS│Wholesale Totex'!E$9:E$43, 'INPUTS│Wholesale Totex'!$C$9:$C$43, $C20 )</f>
        <v>216.31100000000004</v>
      </c>
      <c r="F20" s="14">
        <f xml:space="preserve"> SUMIFS( 'INPUTS│Wholesale Totex'!F$9:F$43, 'INPUTS│Wholesale Totex'!$C$9:$C$43, $C20 )</f>
        <v>239.81399999999999</v>
      </c>
      <c r="G20" s="14">
        <f xml:space="preserve"> SUMIFS( 'INPUTS│Wholesale Totex'!G$9:G$43, 'INPUTS│Wholesale Totex'!$C$9:$C$43, $C20 )</f>
        <v>223.73</v>
      </c>
      <c r="H20" s="14">
        <f xml:space="preserve"> SUMIFS( 'INPUTS│Wholesale Totex'!H$9:H$43, 'INPUTS│Wholesale Totex'!$C$9:$C$43, $C20 )</f>
        <v>207.74851372005</v>
      </c>
      <c r="I20" s="14">
        <f xml:space="preserve"> SUMIFS( 'INPUTS│Wholesale Totex'!I$9:I$43, 'INPUTS│Wholesale Totex'!$C$9:$C$43, $C20 )</f>
        <v>200.833488277675</v>
      </c>
    </row>
    <row r="21" spans="2:10" x14ac:dyDescent="0.3">
      <c r="C21" s="8" t="s">
        <v>106</v>
      </c>
      <c r="D21" s="11" t="s">
        <v>127</v>
      </c>
      <c r="E21" s="14">
        <f xml:space="preserve"> SUMIFS( 'INPUTS│Wholesale Totex'!E$9:E$43, 'INPUTS│Wholesale Totex'!$C$9:$C$43, $C21 )</f>
        <v>63.971667865861491</v>
      </c>
      <c r="F21" s="14">
        <f xml:space="preserve"> SUMIFS( 'INPUTS│Wholesale Totex'!F$9:F$43, 'INPUTS│Wholesale Totex'!$C$9:$C$43, $C21 )</f>
        <v>75.318873329349941</v>
      </c>
      <c r="G21" s="14">
        <f xml:space="preserve"> SUMIFS( 'INPUTS│Wholesale Totex'!G$9:G$43, 'INPUTS│Wholesale Totex'!$C$9:$C$43, $C21 )</f>
        <v>91.077930582921567</v>
      </c>
      <c r="H21" s="14">
        <f xml:space="preserve"> SUMIFS( 'INPUTS│Wholesale Totex'!H$9:H$43, 'INPUTS│Wholesale Totex'!$C$9:$C$43, $C21 )</f>
        <v>92.876174397740968</v>
      </c>
      <c r="I21" s="14">
        <f xml:space="preserve"> SUMIFS( 'INPUTS│Wholesale Totex'!I$9:I$43, 'INPUTS│Wholesale Totex'!$C$9:$C$43, $C21 )</f>
        <v>103.22440969693494</v>
      </c>
    </row>
    <row r="22" spans="2:10" x14ac:dyDescent="0.3">
      <c r="C22" s="8" t="s">
        <v>108</v>
      </c>
      <c r="D22" s="11" t="s">
        <v>127</v>
      </c>
      <c r="E22" s="14">
        <f xml:space="preserve"> SUMIFS( 'INPUTS│Wholesale Totex'!E$9:E$43, 'INPUTS│Wholesale Totex'!$C$9:$C$43, $C22 )</f>
        <v>24.632999999999996</v>
      </c>
      <c r="F22" s="14">
        <f xml:space="preserve"> SUMIFS( 'INPUTS│Wholesale Totex'!F$9:F$43, 'INPUTS│Wholesale Totex'!$C$9:$C$43, $C22 )</f>
        <v>28.802</v>
      </c>
      <c r="G22" s="14">
        <f xml:space="preserve"> SUMIFS( 'INPUTS│Wholesale Totex'!G$9:G$43, 'INPUTS│Wholesale Totex'!$C$9:$C$43, $C22 )</f>
        <v>22.728000000000002</v>
      </c>
      <c r="H22" s="14">
        <f xml:space="preserve"> SUMIFS( 'INPUTS│Wholesale Totex'!H$9:H$43, 'INPUTS│Wholesale Totex'!$C$9:$C$43, $C22 )</f>
        <v>31.155000000000001</v>
      </c>
      <c r="I22" s="14">
        <f xml:space="preserve"> SUMIFS( 'INPUTS│Wholesale Totex'!I$9:I$43, 'INPUTS│Wholesale Totex'!$C$9:$C$43, $C22 )</f>
        <v>30.21</v>
      </c>
    </row>
    <row r="23" spans="2:10" x14ac:dyDescent="0.3">
      <c r="C23" s="8" t="s">
        <v>112</v>
      </c>
      <c r="D23" s="11" t="s">
        <v>127</v>
      </c>
      <c r="E23" s="14">
        <f xml:space="preserve"> SUMIFS( 'INPUTS│Wholesale Totex'!E$9:E$43, 'INPUTS│Wholesale Totex'!$C$9:$C$43, $C23 )</f>
        <v>143.29000000000002</v>
      </c>
      <c r="F23" s="14">
        <f xml:space="preserve"> SUMIFS( 'INPUTS│Wholesale Totex'!F$9:F$43, 'INPUTS│Wholesale Totex'!$C$9:$C$43, $C23 )</f>
        <v>142.97300000000001</v>
      </c>
      <c r="G23" s="14">
        <f xml:space="preserve"> SUMIFS( 'INPUTS│Wholesale Totex'!G$9:G$43, 'INPUTS│Wholesale Totex'!$C$9:$C$43, $C23 )</f>
        <v>148.36099999999999</v>
      </c>
      <c r="H23" s="14">
        <f xml:space="preserve"> SUMIFS( 'INPUTS│Wholesale Totex'!H$9:H$43, 'INPUTS│Wholesale Totex'!$C$9:$C$43, $C23 )</f>
        <v>154.39400000000001</v>
      </c>
      <c r="I23" s="14">
        <f xml:space="preserve"> SUMIFS( 'INPUTS│Wholesale Totex'!I$9:I$43, 'INPUTS│Wholesale Totex'!$C$9:$C$43, $C23 )</f>
        <v>153.185</v>
      </c>
    </row>
    <row r="24" spans="2:10" x14ac:dyDescent="0.3">
      <c r="C24" s="8" t="s">
        <v>114</v>
      </c>
      <c r="D24" s="11" t="s">
        <v>127</v>
      </c>
      <c r="E24" s="14">
        <f xml:space="preserve"> SUMIFS( 'INPUTS│Wholesale Totex'!E$9:E$43, 'INPUTS│Wholesale Totex'!$C$9:$C$43, $C24 )</f>
        <v>72.573732321234701</v>
      </c>
      <c r="F24" s="14">
        <f xml:space="preserve"> SUMIFS( 'INPUTS│Wholesale Totex'!F$9:F$43, 'INPUTS│Wholesale Totex'!$C$9:$C$43, $C24 )</f>
        <v>76.023713386785701</v>
      </c>
      <c r="G24" s="14">
        <f xml:space="preserve"> SUMIFS( 'INPUTS│Wholesale Totex'!G$9:G$43, 'INPUTS│Wholesale Totex'!$C$9:$C$43, $C24 )</f>
        <v>81.931403478126597</v>
      </c>
      <c r="H24" s="14">
        <f xml:space="preserve"> SUMIFS( 'INPUTS│Wholesale Totex'!H$9:H$43, 'INPUTS│Wholesale Totex'!$C$9:$C$43, $C24 )</f>
        <v>80.834999999999994</v>
      </c>
      <c r="I24" s="14">
        <f xml:space="preserve"> SUMIFS( 'INPUTS│Wholesale Totex'!I$9:I$43, 'INPUTS│Wholesale Totex'!$C$9:$C$43, $C24 )</f>
        <v>78.713999999999999</v>
      </c>
    </row>
    <row r="25" spans="2:10" x14ac:dyDescent="0.3">
      <c r="C25" s="8" t="s">
        <v>110</v>
      </c>
      <c r="D25" s="11" t="s">
        <v>127</v>
      </c>
      <c r="E25" s="14">
        <f xml:space="preserve"> SUMIFS( 'INPUTS│Wholesale Totex'!E$9:E$43, 'INPUTS│Wholesale Totex'!$C$9:$C$43, $C25 )</f>
        <v>38.804999999999993</v>
      </c>
      <c r="F25" s="14">
        <f xml:space="preserve"> SUMIFS( 'INPUTS│Wholesale Totex'!F$9:F$43, 'INPUTS│Wholesale Totex'!$C$9:$C$43, $C25 )</f>
        <v>42.835999999999999</v>
      </c>
      <c r="G25" s="14">
        <f xml:space="preserve"> SUMIFS( 'INPUTS│Wholesale Totex'!G$9:G$43, 'INPUTS│Wholesale Totex'!$C$9:$C$43, $C25 )</f>
        <v>44.158999999999999</v>
      </c>
      <c r="H25" s="14">
        <f xml:space="preserve"> SUMIFS( 'INPUTS│Wholesale Totex'!H$9:H$43, 'INPUTS│Wholesale Totex'!$C$9:$C$43, $C25 )</f>
        <v>45.481000000000002</v>
      </c>
      <c r="I25" s="14">
        <f xml:space="preserve"> SUMIFS( 'INPUTS│Wholesale Totex'!I$9:I$43, 'INPUTS│Wholesale Totex'!$C$9:$C$43, $C25 )</f>
        <v>51.856999999999999</v>
      </c>
    </row>
    <row r="27" spans="2:10" x14ac:dyDescent="0.3">
      <c r="C27" s="12" t="s">
        <v>424</v>
      </c>
      <c r="D27" s="13" t="s">
        <v>127</v>
      </c>
      <c r="E27" s="14">
        <f>SUM(E9:E25)</f>
        <v>7501.3684847202057</v>
      </c>
      <c r="F27" s="14">
        <f>SUM(F9:F25)</f>
        <v>7818.5485693391456</v>
      </c>
      <c r="G27" s="14">
        <f>SUM(G9:G25)</f>
        <v>8144.6857172812215</v>
      </c>
      <c r="H27" s="14">
        <f>SUM(H9:H25)</f>
        <v>8438.2282374571805</v>
      </c>
      <c r="I27" s="14">
        <f>SUM(I9:I25)</f>
        <v>8276.6359113700855</v>
      </c>
    </row>
    <row r="29" spans="2:10" ht="13.5" x14ac:dyDescent="0.35">
      <c r="B29" s="32" t="s">
        <v>553</v>
      </c>
      <c r="C29" s="32"/>
      <c r="D29" s="33"/>
      <c r="E29" s="32"/>
      <c r="F29" s="32"/>
      <c r="G29" s="32"/>
      <c r="H29" s="32"/>
      <c r="I29" s="32"/>
      <c r="J29" s="32"/>
    </row>
    <row r="31" spans="2:10" x14ac:dyDescent="0.3">
      <c r="C31" s="8" t="s">
        <v>80</v>
      </c>
      <c r="D31" s="11" t="s">
        <v>127</v>
      </c>
      <c r="E31" s="14">
        <f xml:space="preserve"> SUMIFS( 'INPUTS│Wholesale Totex'!E$89:E$123, 'INPUTS│Wholesale Totex'!$C$89:$C$123, $C31 )</f>
        <v>780.02696286598302</v>
      </c>
      <c r="F31" s="14">
        <f xml:space="preserve"> SUMIFS( 'INPUTS│Wholesale Totex'!F$89:F$123, 'INPUTS│Wholesale Totex'!$C$89:$C$123, $C31 )</f>
        <v>950.77700000000004</v>
      </c>
      <c r="G31" s="14">
        <f xml:space="preserve"> SUMIFS( 'INPUTS│Wholesale Totex'!G$89:G$123, 'INPUTS│Wholesale Totex'!$C$89:$C$123, $C31 )</f>
        <v>830.659731980017</v>
      </c>
      <c r="H31" s="14">
        <f xml:space="preserve"> SUMIFS( 'INPUTS│Wholesale Totex'!H$89:H$123, 'INPUTS│Wholesale Totex'!$C$89:$C$123, $C31 )</f>
        <v>806.57648454496393</v>
      </c>
      <c r="I31" s="14">
        <f xml:space="preserve"> SUMIFS( 'INPUTS│Wholesale Totex'!I$89:I$123, 'INPUTS│Wholesale Totex'!$C$89:$C$123, $C31 )</f>
        <v>792.24299999999994</v>
      </c>
    </row>
    <row r="32" spans="2:10" x14ac:dyDescent="0.3">
      <c r="C32" s="8" t="s">
        <v>82</v>
      </c>
      <c r="D32" s="11" t="s">
        <v>127</v>
      </c>
      <c r="E32" s="14">
        <f xml:space="preserve"> SUMIFS( 'INPUTS│Wholesale Totex'!E$89:E$123, 'INPUTS│Wholesale Totex'!$C$89:$C$123, $C32 )</f>
        <v>527.12000000000012</v>
      </c>
      <c r="F32" s="14">
        <f xml:space="preserve"> SUMIFS( 'INPUTS│Wholesale Totex'!F$89:F$123, 'INPUTS│Wholesale Totex'!$C$89:$C$123, $C32 )</f>
        <v>520.80099999999993</v>
      </c>
      <c r="G32" s="14">
        <f xml:space="preserve"> SUMIFS( 'INPUTS│Wholesale Totex'!G$89:G$123, 'INPUTS│Wholesale Totex'!$C$89:$C$123, $C32 )</f>
        <v>512.28300000000002</v>
      </c>
      <c r="H32" s="14">
        <f xml:space="preserve"> SUMIFS( 'INPUTS│Wholesale Totex'!H$89:H$123, 'INPUTS│Wholesale Totex'!$C$89:$C$123, $C32 )</f>
        <v>500.01300000000003</v>
      </c>
      <c r="I32" s="14">
        <f xml:space="preserve"> SUMIFS( 'INPUTS│Wholesale Totex'!I$89:I$123, 'INPUTS│Wholesale Totex'!$C$89:$C$123, $C32 )</f>
        <v>491.42700000000002</v>
      </c>
    </row>
    <row r="33" spans="3:9" x14ac:dyDescent="0.3">
      <c r="C33" s="8" t="s">
        <v>85</v>
      </c>
      <c r="D33" s="11" t="s">
        <v>127</v>
      </c>
      <c r="E33" s="14">
        <f xml:space="preserve"> SUMIFS( 'INPUTS│Wholesale Totex'!E$89:E$123, 'INPUTS│Wholesale Totex'!$C$89:$C$123, $C33 )</f>
        <v>20.380999999999993</v>
      </c>
      <c r="F33" s="14">
        <f xml:space="preserve"> SUMIFS( 'INPUTS│Wholesale Totex'!F$89:F$123, 'INPUTS│Wholesale Totex'!$C$89:$C$123, $C33 )</f>
        <v>24.75</v>
      </c>
      <c r="G33" s="14">
        <f xml:space="preserve"> SUMIFS( 'INPUTS│Wholesale Totex'!G$89:G$123, 'INPUTS│Wholesale Totex'!$C$89:$C$123, $C33 )</f>
        <v>21.308</v>
      </c>
      <c r="H33" s="14">
        <f xml:space="preserve"> SUMIFS( 'INPUTS│Wholesale Totex'!H$89:H$123, 'INPUTS│Wholesale Totex'!$C$89:$C$123, $C33 )</f>
        <v>22.007999999999999</v>
      </c>
      <c r="I33" s="14">
        <f xml:space="preserve"> SUMIFS( 'INPUTS│Wholesale Totex'!I$89:I$123, 'INPUTS│Wholesale Totex'!$C$89:$C$123, $C33 )</f>
        <v>23.542000000000002</v>
      </c>
    </row>
    <row r="34" spans="3:9" x14ac:dyDescent="0.3">
      <c r="C34" s="8" t="s">
        <v>87</v>
      </c>
      <c r="D34" s="11" t="s">
        <v>127</v>
      </c>
      <c r="E34" s="14">
        <f xml:space="preserve"> SUMIFS( 'INPUTS│Wholesale Totex'!E$89:E$123, 'INPUTS│Wholesale Totex'!$C$89:$C$123, $C34 )</f>
        <v>462.20599999999996</v>
      </c>
      <c r="F34" s="14">
        <f xml:space="preserve"> SUMIFS( 'INPUTS│Wholesale Totex'!F$89:F$123, 'INPUTS│Wholesale Totex'!$C$89:$C$123, $C34 )</f>
        <v>478.52700000000004</v>
      </c>
      <c r="G34" s="14">
        <f xml:space="preserve"> SUMIFS( 'INPUTS│Wholesale Totex'!G$89:G$123, 'INPUTS│Wholesale Totex'!$C$89:$C$123, $C34 )</f>
        <v>493.62299999999993</v>
      </c>
      <c r="H34" s="14">
        <f xml:space="preserve"> SUMIFS( 'INPUTS│Wholesale Totex'!H$89:H$123, 'INPUTS│Wholesale Totex'!$C$89:$C$123, $C34 )</f>
        <v>453.60900000000004</v>
      </c>
      <c r="I34" s="14">
        <f xml:space="preserve"> SUMIFS( 'INPUTS│Wholesale Totex'!I$89:I$123, 'INPUTS│Wholesale Totex'!$C$89:$C$123, $C34 )</f>
        <v>409.98915027340297</v>
      </c>
    </row>
    <row r="35" spans="3:9" x14ac:dyDescent="0.3">
      <c r="C35" s="8" t="s">
        <v>89</v>
      </c>
      <c r="D35" s="11" t="s">
        <v>127</v>
      </c>
      <c r="E35" s="14">
        <f xml:space="preserve"> SUMIFS( 'INPUTS│Wholesale Totex'!E$89:E$123, 'INPUTS│Wholesale Totex'!$C$89:$C$123, $C35 )</f>
        <v>982.63600000000019</v>
      </c>
      <c r="F35" s="14">
        <f xml:space="preserve"> SUMIFS( 'INPUTS│Wholesale Totex'!F$89:F$123, 'INPUTS│Wholesale Totex'!$C$89:$C$123, $C35 )</f>
        <v>1121.327</v>
      </c>
      <c r="G35" s="14">
        <f xml:space="preserve"> SUMIFS( 'INPUTS│Wholesale Totex'!G$89:G$123, 'INPUTS│Wholesale Totex'!$C$89:$C$123, $C35 )</f>
        <v>1175.6479999999999</v>
      </c>
      <c r="H35" s="14">
        <f xml:space="preserve"> SUMIFS( 'INPUTS│Wholesale Totex'!H$89:H$123, 'INPUTS│Wholesale Totex'!$C$89:$C$123, $C35 )</f>
        <v>1159.6469999999999</v>
      </c>
      <c r="I35" s="14">
        <f xml:space="preserve"> SUMIFS( 'INPUTS│Wholesale Totex'!I$89:I$123, 'INPUTS│Wholesale Totex'!$C$89:$C$123, $C35 )</f>
        <v>1065.29</v>
      </c>
    </row>
    <row r="36" spans="3:9" x14ac:dyDescent="0.3">
      <c r="C36" s="8" t="s">
        <v>91</v>
      </c>
      <c r="D36" s="11" t="s">
        <v>127</v>
      </c>
      <c r="E36" s="14">
        <f xml:space="preserve"> SUMIFS( 'INPUTS│Wholesale Totex'!E$89:E$123, 'INPUTS│Wholesale Totex'!$C$89:$C$123, $C36 )</f>
        <v>357.1</v>
      </c>
      <c r="F36" s="14">
        <f xml:space="preserve"> SUMIFS( 'INPUTS│Wholesale Totex'!F$89:F$123, 'INPUTS│Wholesale Totex'!$C$89:$C$123, $C36 )</f>
        <v>364.9</v>
      </c>
      <c r="G36" s="14">
        <f xml:space="preserve"> SUMIFS( 'INPUTS│Wholesale Totex'!G$89:G$123, 'INPUTS│Wholesale Totex'!$C$89:$C$123, $C36 )</f>
        <v>348.07900000000001</v>
      </c>
      <c r="H36" s="14">
        <f xml:space="preserve"> SUMIFS( 'INPUTS│Wholesale Totex'!H$89:H$123, 'INPUTS│Wholesale Totex'!$C$89:$C$123, $C36 )</f>
        <v>313.06299999999999</v>
      </c>
      <c r="I36" s="14">
        <f xml:space="preserve"> SUMIFS( 'INPUTS│Wholesale Totex'!I$89:I$123, 'INPUTS│Wholesale Totex'!$C$89:$C$123, $C36 )</f>
        <v>302.94900000000001</v>
      </c>
    </row>
    <row r="37" spans="3:9" x14ac:dyDescent="0.3">
      <c r="C37" s="8" t="s">
        <v>94</v>
      </c>
      <c r="D37" s="11" t="s">
        <v>127</v>
      </c>
      <c r="E37" s="14">
        <f xml:space="preserve"> SUMIFS( 'INPUTS│Wholesale Totex'!E$89:E$123, 'INPUTS│Wholesale Totex'!$C$89:$C$123, $C37 )</f>
        <v>520.32700000000011</v>
      </c>
      <c r="F37" s="14">
        <f xml:space="preserve"> SUMIFS( 'INPUTS│Wholesale Totex'!F$89:F$123, 'INPUTS│Wholesale Totex'!$C$89:$C$123, $C37 )</f>
        <v>568.5</v>
      </c>
      <c r="G37" s="14">
        <f xml:space="preserve"> SUMIFS( 'INPUTS│Wholesale Totex'!G$89:G$123, 'INPUTS│Wholesale Totex'!$C$89:$C$123, $C37 )</f>
        <v>558.45000000000005</v>
      </c>
      <c r="H37" s="14">
        <f xml:space="preserve"> SUMIFS( 'INPUTS│Wholesale Totex'!H$89:H$123, 'INPUTS│Wholesale Totex'!$C$89:$C$123, $C37 )</f>
        <v>518.20299999999997</v>
      </c>
      <c r="I37" s="14">
        <f xml:space="preserve"> SUMIFS( 'INPUTS│Wholesale Totex'!I$89:I$123, 'INPUTS│Wholesale Totex'!$C$89:$C$123, $C37 )</f>
        <v>460.904</v>
      </c>
    </row>
    <row r="38" spans="3:9" x14ac:dyDescent="0.3">
      <c r="C38" s="8" t="s">
        <v>96</v>
      </c>
      <c r="D38" s="11" t="s">
        <v>127</v>
      </c>
      <c r="E38" s="14">
        <f xml:space="preserve"> SUMIFS( 'INPUTS│Wholesale Totex'!E$89:E$123, 'INPUTS│Wholesale Totex'!$C$89:$C$123, $C38 )</f>
        <v>1632.9459999999999</v>
      </c>
      <c r="F38" s="14">
        <f xml:space="preserve"> SUMIFS( 'INPUTS│Wholesale Totex'!F$89:F$123, 'INPUTS│Wholesale Totex'!$C$89:$C$123, $C38 )</f>
        <v>1519.3300000000002</v>
      </c>
      <c r="G38" s="14">
        <f xml:space="preserve"> SUMIFS( 'INPUTS│Wholesale Totex'!G$89:G$123, 'INPUTS│Wholesale Totex'!$C$89:$C$123, $C38 )</f>
        <v>1534.7890000000002</v>
      </c>
      <c r="H38" s="14">
        <f xml:space="preserve"> SUMIFS( 'INPUTS│Wholesale Totex'!H$89:H$123, 'INPUTS│Wholesale Totex'!$C$89:$C$123, $C38 )</f>
        <v>1431.4749999999999</v>
      </c>
      <c r="I38" s="14">
        <f xml:space="preserve"> SUMIFS( 'INPUTS│Wholesale Totex'!I$89:I$123, 'INPUTS│Wholesale Totex'!$C$89:$C$123, $C38 )</f>
        <v>1289.8529999999998</v>
      </c>
    </row>
    <row r="39" spans="3:9" x14ac:dyDescent="0.3">
      <c r="C39" s="8" t="s">
        <v>98</v>
      </c>
      <c r="D39" s="11" t="s">
        <v>127</v>
      </c>
      <c r="E39" s="14">
        <f xml:space="preserve"> SUMIFS( 'INPUTS│Wholesale Totex'!E$89:E$123, 'INPUTS│Wholesale Totex'!$C$89:$C$123, $C39 )</f>
        <v>1001.9000000000003</v>
      </c>
      <c r="F39" s="14">
        <f xml:space="preserve"> SUMIFS( 'INPUTS│Wholesale Totex'!F$89:F$123, 'INPUTS│Wholesale Totex'!$C$89:$C$123, $C39 )</f>
        <v>1043.5999999999999</v>
      </c>
      <c r="G39" s="14">
        <f xml:space="preserve"> SUMIFS( 'INPUTS│Wholesale Totex'!G$89:G$123, 'INPUTS│Wholesale Totex'!$C$89:$C$123, $C39 )</f>
        <v>1097.9000000000001</v>
      </c>
      <c r="H39" s="14">
        <f xml:space="preserve"> SUMIFS( 'INPUTS│Wholesale Totex'!H$89:H$123, 'INPUTS│Wholesale Totex'!$C$89:$C$123, $C39 )</f>
        <v>1136.4000000000001</v>
      </c>
      <c r="I39" s="14">
        <f xml:space="preserve"> SUMIFS( 'INPUTS│Wholesale Totex'!I$89:I$123, 'INPUTS│Wholesale Totex'!$C$89:$C$123, $C39 )</f>
        <v>1007.8</v>
      </c>
    </row>
    <row r="40" spans="3:9" x14ac:dyDescent="0.3">
      <c r="C40" s="8" t="s">
        <v>100</v>
      </c>
      <c r="D40" s="11" t="s">
        <v>127</v>
      </c>
      <c r="E40" s="14">
        <f xml:space="preserve"> SUMIFS( 'INPUTS│Wholesale Totex'!E$89:E$123, 'INPUTS│Wholesale Totex'!$C$89:$C$123, $C40 )</f>
        <v>336.708895594659</v>
      </c>
      <c r="F40" s="14">
        <f xml:space="preserve"> SUMIFS( 'INPUTS│Wholesale Totex'!F$89:F$123, 'INPUTS│Wholesale Totex'!$C$89:$C$123, $C40 )</f>
        <v>355.9</v>
      </c>
      <c r="G40" s="14">
        <f xml:space="preserve"> SUMIFS( 'INPUTS│Wholesale Totex'!G$89:G$123, 'INPUTS│Wholesale Totex'!$C$89:$C$123, $C40 )</f>
        <v>376.061303617661</v>
      </c>
      <c r="H40" s="14">
        <f xml:space="preserve"> SUMIFS( 'INPUTS│Wholesale Totex'!H$89:H$123, 'INPUTS│Wholesale Totex'!$C$89:$C$123, $C40 )</f>
        <v>356.9</v>
      </c>
      <c r="I40" s="14">
        <f xml:space="preserve"> SUMIFS( 'INPUTS│Wholesale Totex'!I$89:I$123, 'INPUTS│Wholesale Totex'!$C$89:$C$123, $C40 )</f>
        <v>343.1</v>
      </c>
    </row>
    <row r="41" spans="3:9" x14ac:dyDescent="0.3">
      <c r="C41" s="8" t="s">
        <v>102</v>
      </c>
      <c r="D41" s="11" t="s">
        <v>127</v>
      </c>
      <c r="E41" s="14">
        <f xml:space="preserve"> SUMIFS( 'INPUTS│Wholesale Totex'!E$89:E$123, 'INPUTS│Wholesale Totex'!$C$89:$C$123, $C41 )</f>
        <v>720.58</v>
      </c>
      <c r="F41" s="14">
        <f xml:space="preserve"> SUMIFS( 'INPUTS│Wholesale Totex'!F$89:F$123, 'INPUTS│Wholesale Totex'!$C$89:$C$123, $C41 )</f>
        <v>698.92000000000007</v>
      </c>
      <c r="G41" s="14">
        <f xml:space="preserve"> SUMIFS( 'INPUTS│Wholesale Totex'!G$89:G$123, 'INPUTS│Wholesale Totex'!$C$89:$C$123, $C41 )</f>
        <v>665</v>
      </c>
      <c r="H41" s="14">
        <f xml:space="preserve"> SUMIFS( 'INPUTS│Wholesale Totex'!H$89:H$123, 'INPUTS│Wholesale Totex'!$C$89:$C$123, $C41 )</f>
        <v>665.55</v>
      </c>
      <c r="I41" s="14">
        <f xml:space="preserve"> SUMIFS( 'INPUTS│Wholesale Totex'!I$89:I$123, 'INPUTS│Wholesale Totex'!$C$89:$C$123, $C41 )</f>
        <v>671.84799999999996</v>
      </c>
    </row>
    <row r="42" spans="3:9" x14ac:dyDescent="0.3">
      <c r="C42" s="8" t="s">
        <v>104</v>
      </c>
      <c r="D42" s="11" t="s">
        <v>127</v>
      </c>
      <c r="E42" s="14">
        <f xml:space="preserve"> SUMIFS( 'INPUTS│Wholesale Totex'!E$89:E$123, 'INPUTS│Wholesale Totex'!$C$89:$C$123, $C42 )</f>
        <v>241.79999999999995</v>
      </c>
      <c r="F42" s="14">
        <f xml:space="preserve"> SUMIFS( 'INPUTS│Wholesale Totex'!F$89:F$123, 'INPUTS│Wholesale Totex'!$C$89:$C$123, $C42 )</f>
        <v>244.3</v>
      </c>
      <c r="G42" s="14">
        <f xml:space="preserve"> SUMIFS( 'INPUTS│Wholesale Totex'!G$89:G$123, 'INPUTS│Wholesale Totex'!$C$89:$C$123, $C42 )</f>
        <v>212.3</v>
      </c>
      <c r="H42" s="14">
        <f xml:space="preserve"> SUMIFS( 'INPUTS│Wholesale Totex'!H$89:H$123, 'INPUTS│Wholesale Totex'!$C$89:$C$123, $C42 )</f>
        <v>189.554675</v>
      </c>
      <c r="I42" s="14">
        <f xml:space="preserve"> SUMIFS( 'INPUTS│Wholesale Totex'!I$89:I$123, 'INPUTS│Wholesale Totex'!$C$89:$C$123, $C42 )</f>
        <v>175.035</v>
      </c>
    </row>
    <row r="43" spans="3:9" x14ac:dyDescent="0.3">
      <c r="C43" s="8" t="s">
        <v>106</v>
      </c>
      <c r="D43" s="11" t="s">
        <v>127</v>
      </c>
      <c r="E43" s="14">
        <f xml:space="preserve"> SUMIFS( 'INPUTS│Wholesale Totex'!E$89:E$123, 'INPUTS│Wholesale Totex'!$C$89:$C$123, $C43 )</f>
        <v>86.8069926054078</v>
      </c>
      <c r="F43" s="14">
        <f xml:space="preserve"> SUMIFS( 'INPUTS│Wholesale Totex'!F$89:F$123, 'INPUTS│Wholesale Totex'!$C$89:$C$123, $C43 )</f>
        <v>84.001734707013</v>
      </c>
      <c r="G43" s="14">
        <f xml:space="preserve"> SUMIFS( 'INPUTS│Wholesale Totex'!G$89:G$123, 'INPUTS│Wholesale Totex'!$C$89:$C$123, $C43 )</f>
        <v>83.6704229772443</v>
      </c>
      <c r="H43" s="14">
        <f xml:space="preserve"> SUMIFS( 'INPUTS│Wholesale Totex'!H$89:H$123, 'INPUTS│Wholesale Totex'!$C$89:$C$123, $C43 )</f>
        <v>83.062473548044693</v>
      </c>
      <c r="I43" s="14">
        <f xml:space="preserve"> SUMIFS( 'INPUTS│Wholesale Totex'!I$89:I$123, 'INPUTS│Wholesale Totex'!$C$89:$C$123, $C43 )</f>
        <v>84.332472085462598</v>
      </c>
    </row>
    <row r="44" spans="3:9" x14ac:dyDescent="0.3">
      <c r="C44" s="8" t="s">
        <v>108</v>
      </c>
      <c r="D44" s="11" t="s">
        <v>127</v>
      </c>
      <c r="E44" s="14">
        <f xml:space="preserve"> SUMIFS( 'INPUTS│Wholesale Totex'!E$89:E$123, 'INPUTS│Wholesale Totex'!$C$89:$C$123, $C44 )</f>
        <v>26.426999999999992</v>
      </c>
      <c r="F44" s="14">
        <f xml:space="preserve"> SUMIFS( 'INPUTS│Wholesale Totex'!F$89:F$123, 'INPUTS│Wholesale Totex'!$C$89:$C$123, $C44 )</f>
        <v>28.693000000000001</v>
      </c>
      <c r="G44" s="14">
        <f xml:space="preserve"> SUMIFS( 'INPUTS│Wholesale Totex'!G$89:G$123, 'INPUTS│Wholesale Totex'!$C$89:$C$123, $C44 )</f>
        <v>29.108000000000001</v>
      </c>
      <c r="H44" s="14">
        <f xml:space="preserve"> SUMIFS( 'INPUTS│Wholesale Totex'!H$89:H$123, 'INPUTS│Wholesale Totex'!$C$89:$C$123, $C44 )</f>
        <v>27.38</v>
      </c>
      <c r="I44" s="14">
        <f xml:space="preserve"> SUMIFS( 'INPUTS│Wholesale Totex'!I$89:I$123, 'INPUTS│Wholesale Totex'!$C$89:$C$123, $C44 )</f>
        <v>26.082999999999998</v>
      </c>
    </row>
    <row r="45" spans="3:9" x14ac:dyDescent="0.3">
      <c r="C45" s="8" t="s">
        <v>112</v>
      </c>
      <c r="D45" s="11" t="s">
        <v>127</v>
      </c>
      <c r="E45" s="14">
        <f xml:space="preserve"> SUMIFS( 'INPUTS│Wholesale Totex'!E$89:E$123, 'INPUTS│Wholesale Totex'!$C$89:$C$123, $C45 )</f>
        <v>147.90000000000003</v>
      </c>
      <c r="F45" s="14">
        <f xml:space="preserve"> SUMIFS( 'INPUTS│Wholesale Totex'!F$89:F$123, 'INPUTS│Wholesale Totex'!$C$89:$C$123, $C45 )</f>
        <v>155.9</v>
      </c>
      <c r="G45" s="14">
        <f xml:space="preserve"> SUMIFS( 'INPUTS│Wholesale Totex'!G$89:G$123, 'INPUTS│Wholesale Totex'!$C$89:$C$123, $C45 )</f>
        <v>165.5</v>
      </c>
      <c r="H45" s="14">
        <f xml:space="preserve"> SUMIFS( 'INPUTS│Wholesale Totex'!H$89:H$123, 'INPUTS│Wholesale Totex'!$C$89:$C$123, $C45 )</f>
        <v>159</v>
      </c>
      <c r="I45" s="14">
        <f xml:space="preserve"> SUMIFS( 'INPUTS│Wholesale Totex'!I$89:I$123, 'INPUTS│Wholesale Totex'!$C$89:$C$123, $C45 )</f>
        <v>148.4</v>
      </c>
    </row>
    <row r="46" spans="3:9" x14ac:dyDescent="0.3">
      <c r="C46" s="8" t="s">
        <v>114</v>
      </c>
      <c r="D46" s="11" t="s">
        <v>127</v>
      </c>
      <c r="E46" s="14">
        <f xml:space="preserve"> SUMIFS( 'INPUTS│Wholesale Totex'!E$89:E$123, 'INPUTS│Wholesale Totex'!$C$89:$C$123, $C46 )</f>
        <v>76.771426398023607</v>
      </c>
      <c r="F46" s="14">
        <f xml:space="preserve"> SUMIFS( 'INPUTS│Wholesale Totex'!F$89:F$123, 'INPUTS│Wholesale Totex'!$C$89:$C$123, $C46 )</f>
        <v>77.522471684498299</v>
      </c>
      <c r="G46" s="14">
        <f xml:space="preserve"> SUMIFS( 'INPUTS│Wholesale Totex'!G$89:G$123, 'INPUTS│Wholesale Totex'!$C$89:$C$123, $C46 )</f>
        <v>77.804401979524101</v>
      </c>
      <c r="H46" s="14">
        <f xml:space="preserve"> SUMIFS( 'INPUTS│Wholesale Totex'!H$89:H$123, 'INPUTS│Wholesale Totex'!$C$89:$C$123, $C46 )</f>
        <v>77.947000000000003</v>
      </c>
      <c r="I46" s="14">
        <f xml:space="preserve"> SUMIFS( 'INPUTS│Wholesale Totex'!I$89:I$123, 'INPUTS│Wholesale Totex'!$C$89:$C$123, $C46 )</f>
        <v>76.897000000000006</v>
      </c>
    </row>
    <row r="47" spans="3:9" x14ac:dyDescent="0.3">
      <c r="C47" s="8" t="s">
        <v>110</v>
      </c>
      <c r="D47" s="11" t="s">
        <v>127</v>
      </c>
      <c r="E47" s="14">
        <f xml:space="preserve"> SUMIFS( 'INPUTS│Wholesale Totex'!E$89:E$123, 'INPUTS│Wholesale Totex'!$C$89:$C$123, $C47 )</f>
        <v>40.859921351818002</v>
      </c>
      <c r="F47" s="14">
        <f xml:space="preserve"> SUMIFS( 'INPUTS│Wholesale Totex'!F$89:F$123, 'INPUTS│Wholesale Totex'!$C$89:$C$123, $C47 )</f>
        <v>45.069001595829398</v>
      </c>
      <c r="G47" s="14">
        <f xml:space="preserve"> SUMIFS( 'INPUTS│Wholesale Totex'!G$89:G$123, 'INPUTS│Wholesale Totex'!$C$89:$C$123, $C47 )</f>
        <v>47.377166801180202</v>
      </c>
      <c r="H47" s="14">
        <f xml:space="preserve"> SUMIFS( 'INPUTS│Wholesale Totex'!H$89:H$123, 'INPUTS│Wholesale Totex'!$C$89:$C$123, $C47 )</f>
        <v>43.756884453545297</v>
      </c>
      <c r="I47" s="14">
        <f xml:space="preserve"> SUMIFS( 'INPUTS│Wholesale Totex'!I$89:I$123, 'INPUTS│Wholesale Totex'!$C$89:$C$123, $C47 )</f>
        <v>43.4578708793169</v>
      </c>
    </row>
    <row r="49" spans="2:10" x14ac:dyDescent="0.3">
      <c r="C49" s="12" t="s">
        <v>424</v>
      </c>
      <c r="D49" s="13" t="s">
        <v>127</v>
      </c>
      <c r="E49" s="14">
        <f>SUM(E31:E47)</f>
        <v>7962.4971988158914</v>
      </c>
      <c r="F49" s="14">
        <f>SUM(F31:F47)</f>
        <v>8282.8182079873422</v>
      </c>
      <c r="G49" s="14">
        <f>SUM(G31:G47)</f>
        <v>8229.5610273556267</v>
      </c>
      <c r="H49" s="14">
        <f>SUM(H31:H47)</f>
        <v>7944.1455175465553</v>
      </c>
      <c r="I49" s="14">
        <f>SUM(I31:I47)</f>
        <v>7413.1504932381822</v>
      </c>
    </row>
    <row r="51" spans="2:10" ht="13.5" x14ac:dyDescent="0.35">
      <c r="B51" s="32" t="s">
        <v>554</v>
      </c>
      <c r="C51" s="32"/>
      <c r="D51" s="33"/>
      <c r="E51" s="32"/>
      <c r="F51" s="32"/>
      <c r="G51" s="32"/>
      <c r="H51" s="32"/>
      <c r="I51" s="32"/>
      <c r="J51" s="32"/>
    </row>
    <row r="53" spans="2:10" x14ac:dyDescent="0.3">
      <c r="C53" s="8" t="s">
        <v>80</v>
      </c>
      <c r="D53" s="11" t="s">
        <v>127</v>
      </c>
      <c r="E53" s="14">
        <f t="shared" ref="E53:I62" si="0" xml:space="preserve"> E9 - E31</f>
        <v>-60.717333836695389</v>
      </c>
      <c r="F53" s="14">
        <f t="shared" si="0"/>
        <v>-201.9733300180153</v>
      </c>
      <c r="G53" s="14">
        <f t="shared" si="0"/>
        <v>-28.639453479432973</v>
      </c>
      <c r="H53" s="14">
        <f t="shared" si="0"/>
        <v>-32.73966837476587</v>
      </c>
      <c r="I53" s="14">
        <f t="shared" si="0"/>
        <v>-15.043999999999869</v>
      </c>
    </row>
    <row r="54" spans="2:10" x14ac:dyDescent="0.3">
      <c r="C54" s="8" t="s">
        <v>82</v>
      </c>
      <c r="D54" s="11" t="s">
        <v>127</v>
      </c>
      <c r="E54" s="14">
        <f t="shared" si="0"/>
        <v>-96.226000000000113</v>
      </c>
      <c r="F54" s="14">
        <f t="shared" si="0"/>
        <v>18.832000000000107</v>
      </c>
      <c r="G54" s="14">
        <f t="shared" si="0"/>
        <v>62.84699999999998</v>
      </c>
      <c r="H54" s="14">
        <f t="shared" si="0"/>
        <v>102.81100000000004</v>
      </c>
      <c r="I54" s="14">
        <f t="shared" si="0"/>
        <v>74.742000000000075</v>
      </c>
    </row>
    <row r="55" spans="2:10" x14ac:dyDescent="0.3">
      <c r="C55" s="8" t="s">
        <v>85</v>
      </c>
      <c r="D55" s="11" t="s">
        <v>127</v>
      </c>
      <c r="E55" s="14">
        <f t="shared" si="0"/>
        <v>-4.9649999999999892</v>
      </c>
      <c r="F55" s="14">
        <f t="shared" si="0"/>
        <v>-5.3709999999999987</v>
      </c>
      <c r="G55" s="14">
        <f t="shared" si="0"/>
        <v>3.1799999999999997</v>
      </c>
      <c r="H55" s="14">
        <f t="shared" si="0"/>
        <v>4.472999999999999</v>
      </c>
      <c r="I55" s="14">
        <f t="shared" si="0"/>
        <v>5.5599999999999987</v>
      </c>
    </row>
    <row r="56" spans="2:10" x14ac:dyDescent="0.3">
      <c r="C56" s="8" t="s">
        <v>87</v>
      </c>
      <c r="D56" s="11" t="s">
        <v>127</v>
      </c>
      <c r="E56" s="14">
        <f t="shared" si="0"/>
        <v>-52.058999999999912</v>
      </c>
      <c r="F56" s="14">
        <f t="shared" si="0"/>
        <v>-82.418000000000006</v>
      </c>
      <c r="G56" s="14">
        <f t="shared" si="0"/>
        <v>-50.184999999999945</v>
      </c>
      <c r="H56" s="14">
        <f t="shared" si="0"/>
        <v>13.916999999999916</v>
      </c>
      <c r="I56" s="14">
        <f t="shared" si="0"/>
        <v>24.640849726597025</v>
      </c>
    </row>
    <row r="57" spans="2:10" x14ac:dyDescent="0.3">
      <c r="C57" s="8" t="s">
        <v>89</v>
      </c>
      <c r="D57" s="11" t="s">
        <v>127</v>
      </c>
      <c r="E57" s="14">
        <f t="shared" si="0"/>
        <v>-18.626000000000204</v>
      </c>
      <c r="F57" s="14">
        <f t="shared" si="0"/>
        <v>-135.82999999999993</v>
      </c>
      <c r="G57" s="14">
        <f t="shared" si="0"/>
        <v>-100.11699999999996</v>
      </c>
      <c r="H57" s="14">
        <f t="shared" si="0"/>
        <v>40.600000000000136</v>
      </c>
      <c r="I57" s="14">
        <f t="shared" si="0"/>
        <v>184.51000000000022</v>
      </c>
    </row>
    <row r="58" spans="2:10" x14ac:dyDescent="0.3">
      <c r="C58" s="8" t="s">
        <v>91</v>
      </c>
      <c r="D58" s="11" t="s">
        <v>127</v>
      </c>
      <c r="E58" s="14">
        <f t="shared" si="0"/>
        <v>-83</v>
      </c>
      <c r="F58" s="14">
        <f t="shared" si="0"/>
        <v>-47.375</v>
      </c>
      <c r="G58" s="14">
        <f t="shared" si="0"/>
        <v>-50.406999999999982</v>
      </c>
      <c r="H58" s="14">
        <f t="shared" si="0"/>
        <v>-42.031999999999982</v>
      </c>
      <c r="I58" s="14">
        <f t="shared" si="0"/>
        <v>-38.846000000000004</v>
      </c>
    </row>
    <row r="59" spans="2:10" x14ac:dyDescent="0.3">
      <c r="C59" s="8" t="s">
        <v>94</v>
      </c>
      <c r="D59" s="11" t="s">
        <v>127</v>
      </c>
      <c r="E59" s="14">
        <f t="shared" si="0"/>
        <v>-106.84800000000013</v>
      </c>
      <c r="F59" s="14">
        <f t="shared" si="0"/>
        <v>-98.328999999999951</v>
      </c>
      <c r="G59" s="14">
        <f t="shared" si="0"/>
        <v>-8.4710000000000036</v>
      </c>
      <c r="H59" s="14">
        <f t="shared" si="0"/>
        <v>47.128000000000043</v>
      </c>
      <c r="I59" s="14">
        <f t="shared" si="0"/>
        <v>153.51300000000003</v>
      </c>
    </row>
    <row r="60" spans="2:10" x14ac:dyDescent="0.3">
      <c r="C60" s="8" t="s">
        <v>96</v>
      </c>
      <c r="D60" s="11" t="s">
        <v>127</v>
      </c>
      <c r="E60" s="14">
        <f t="shared" si="0"/>
        <v>61.275016093367185</v>
      </c>
      <c r="F60" s="14">
        <f t="shared" si="0"/>
        <v>73.353584809830409</v>
      </c>
      <c r="G60" s="14">
        <f t="shared" si="0"/>
        <v>61.836000000000013</v>
      </c>
      <c r="H60" s="14">
        <f t="shared" si="0"/>
        <v>191.98600000000033</v>
      </c>
      <c r="I60" s="14">
        <f t="shared" si="0"/>
        <v>267.92800000000011</v>
      </c>
    </row>
    <row r="61" spans="2:10" x14ac:dyDescent="0.3">
      <c r="C61" s="8" t="s">
        <v>98</v>
      </c>
      <c r="D61" s="11" t="s">
        <v>127</v>
      </c>
      <c r="E61" s="14">
        <f t="shared" si="0"/>
        <v>151.57298683830277</v>
      </c>
      <c r="F61" s="14">
        <f t="shared" si="0"/>
        <v>117.39218040334708</v>
      </c>
      <c r="G61" s="14">
        <f t="shared" si="0"/>
        <v>39.800104719589854</v>
      </c>
      <c r="H61" s="14">
        <f t="shared" si="0"/>
        <v>4.8073166654157831</v>
      </c>
      <c r="I61" s="14">
        <f t="shared" si="0"/>
        <v>39.05587993983886</v>
      </c>
    </row>
    <row r="62" spans="2:10" x14ac:dyDescent="0.3">
      <c r="C62" s="8" t="s">
        <v>100</v>
      </c>
      <c r="D62" s="11" t="s">
        <v>127</v>
      </c>
      <c r="E62" s="14">
        <f t="shared" si="0"/>
        <v>-32.267443022505915</v>
      </c>
      <c r="F62" s="14">
        <f t="shared" si="0"/>
        <v>-49.391452572152957</v>
      </c>
      <c r="G62" s="14">
        <f t="shared" si="0"/>
        <v>-37.632303617661023</v>
      </c>
      <c r="H62" s="14">
        <f t="shared" si="0"/>
        <v>-22.981583496221958</v>
      </c>
      <c r="I62" s="14">
        <f t="shared" si="0"/>
        <v>-3.9488665443660125</v>
      </c>
    </row>
    <row r="63" spans="2:10" x14ac:dyDescent="0.3">
      <c r="C63" s="8" t="s">
        <v>102</v>
      </c>
      <c r="D63" s="11" t="s">
        <v>127</v>
      </c>
      <c r="E63" s="14">
        <f t="shared" ref="E63:I69" si="1" xml:space="preserve"> E19 - E41</f>
        <v>-158.28700000000003</v>
      </c>
      <c r="F63" s="14">
        <f t="shared" si="1"/>
        <v>-23.441000000000031</v>
      </c>
      <c r="G63" s="14">
        <f t="shared" si="1"/>
        <v>26.686000000000035</v>
      </c>
      <c r="H63" s="14">
        <f t="shared" si="1"/>
        <v>154.32500000000005</v>
      </c>
      <c r="I63" s="14">
        <f t="shared" si="1"/>
        <v>107.55600000000004</v>
      </c>
    </row>
    <row r="64" spans="2:10" x14ac:dyDescent="0.3">
      <c r="C64" s="8" t="s">
        <v>104</v>
      </c>
      <c r="D64" s="11" t="s">
        <v>127</v>
      </c>
      <c r="E64" s="14">
        <f t="shared" si="1"/>
        <v>-25.488999999999919</v>
      </c>
      <c r="F64" s="14">
        <f t="shared" si="1"/>
        <v>-4.4860000000000184</v>
      </c>
      <c r="G64" s="14">
        <f t="shared" si="1"/>
        <v>11.429999999999978</v>
      </c>
      <c r="H64" s="14">
        <f t="shared" si="1"/>
        <v>18.193838720049996</v>
      </c>
      <c r="I64" s="14">
        <f t="shared" si="1"/>
        <v>25.798488277675006</v>
      </c>
    </row>
    <row r="65" spans="2:10" x14ac:dyDescent="0.3">
      <c r="C65" s="8" t="s">
        <v>106</v>
      </c>
      <c r="D65" s="11" t="s">
        <v>127</v>
      </c>
      <c r="E65" s="14">
        <f t="shared" si="1"/>
        <v>-22.835324739546309</v>
      </c>
      <c r="F65" s="14">
        <f t="shared" si="1"/>
        <v>-8.682861377663059</v>
      </c>
      <c r="G65" s="14">
        <f t="shared" si="1"/>
        <v>7.4075076056772673</v>
      </c>
      <c r="H65" s="14">
        <f t="shared" si="1"/>
        <v>9.813700849696275</v>
      </c>
      <c r="I65" s="14">
        <f t="shared" si="1"/>
        <v>18.891937611472343</v>
      </c>
    </row>
    <row r="66" spans="2:10" x14ac:dyDescent="0.3">
      <c r="C66" s="8" t="s">
        <v>108</v>
      </c>
      <c r="D66" s="11" t="s">
        <v>127</v>
      </c>
      <c r="E66" s="14">
        <f t="shared" si="1"/>
        <v>-1.7939999999999969</v>
      </c>
      <c r="F66" s="14">
        <f t="shared" si="1"/>
        <v>0.10899999999999821</v>
      </c>
      <c r="G66" s="14">
        <f t="shared" si="1"/>
        <v>-6.379999999999999</v>
      </c>
      <c r="H66" s="14">
        <f t="shared" si="1"/>
        <v>3.7750000000000021</v>
      </c>
      <c r="I66" s="14">
        <f t="shared" si="1"/>
        <v>4.1270000000000024</v>
      </c>
    </row>
    <row r="67" spans="2:10" x14ac:dyDescent="0.3">
      <c r="C67" s="8" t="s">
        <v>112</v>
      </c>
      <c r="D67" s="11" t="s">
        <v>127</v>
      </c>
      <c r="E67" s="14">
        <f t="shared" si="1"/>
        <v>-4.6100000000000136</v>
      </c>
      <c r="F67" s="14">
        <f t="shared" si="1"/>
        <v>-12.926999999999992</v>
      </c>
      <c r="G67" s="14">
        <f t="shared" si="1"/>
        <v>-17.13900000000001</v>
      </c>
      <c r="H67" s="14">
        <f t="shared" si="1"/>
        <v>-4.6059999999999945</v>
      </c>
      <c r="I67" s="14">
        <f t="shared" si="1"/>
        <v>4.7849999999999966</v>
      </c>
    </row>
    <row r="68" spans="2:10" x14ac:dyDescent="0.3">
      <c r="C68" s="8" t="s">
        <v>114</v>
      </c>
      <c r="D68" s="11" t="s">
        <v>127</v>
      </c>
      <c r="E68" s="14">
        <f t="shared" si="1"/>
        <v>-4.1976940767889062</v>
      </c>
      <c r="F68" s="14">
        <f t="shared" si="1"/>
        <v>-1.4987582977125982</v>
      </c>
      <c r="G68" s="14">
        <f t="shared" si="1"/>
        <v>4.1270014986024961</v>
      </c>
      <c r="H68" s="14">
        <f t="shared" si="1"/>
        <v>2.887999999999991</v>
      </c>
      <c r="I68" s="14">
        <f t="shared" si="1"/>
        <v>1.8169999999999931</v>
      </c>
    </row>
    <row r="69" spans="2:10" x14ac:dyDescent="0.3">
      <c r="C69" s="8" t="s">
        <v>110</v>
      </c>
      <c r="D69" s="11" t="s">
        <v>127</v>
      </c>
      <c r="E69" s="14">
        <f t="shared" si="1"/>
        <v>-2.0549213518180096</v>
      </c>
      <c r="F69" s="14">
        <f t="shared" si="1"/>
        <v>-2.2330015958293998</v>
      </c>
      <c r="G69" s="14">
        <f t="shared" si="1"/>
        <v>-3.2181668011802032</v>
      </c>
      <c r="H69" s="14">
        <f t="shared" si="1"/>
        <v>1.7241155464547049</v>
      </c>
      <c r="I69" s="14">
        <f t="shared" si="1"/>
        <v>8.3991291206830994</v>
      </c>
    </row>
    <row r="71" spans="2:10" x14ac:dyDescent="0.3">
      <c r="C71" s="12" t="s">
        <v>424</v>
      </c>
      <c r="D71" s="13" t="s">
        <v>127</v>
      </c>
      <c r="E71" s="14">
        <f xml:space="preserve"> E27 - E49</f>
        <v>-461.12871409568561</v>
      </c>
      <c r="F71" s="14">
        <f xml:space="preserve"> F27 - F49</f>
        <v>-464.26963864819663</v>
      </c>
      <c r="G71" s="14">
        <f xml:space="preserve"> G27 - G49</f>
        <v>-84.875310074405206</v>
      </c>
      <c r="H71" s="14">
        <f xml:space="preserve"> H27 - H49</f>
        <v>494.0827199106252</v>
      </c>
      <c r="I71" s="14">
        <f xml:space="preserve"> I27 - I49</f>
        <v>863.48541813190332</v>
      </c>
    </row>
    <row r="73" spans="2:10" ht="13.5" x14ac:dyDescent="0.35">
      <c r="B73" s="32" t="s">
        <v>555</v>
      </c>
      <c r="C73" s="32"/>
      <c r="D73" s="33"/>
      <c r="E73" s="32"/>
      <c r="F73" s="32"/>
      <c r="G73" s="32"/>
      <c r="H73" s="32"/>
      <c r="I73" s="32"/>
      <c r="J73" s="32"/>
    </row>
    <row r="75" spans="2:10" x14ac:dyDescent="0.3">
      <c r="C75" s="8" t="s">
        <v>80</v>
      </c>
      <c r="D75" s="11" t="s">
        <v>127</v>
      </c>
      <c r="E75" s="232">
        <f t="shared" ref="E75:I84" si="2" xml:space="preserve"> IFERROR( E53 / E31, 0 )</f>
        <v>-7.7840044930763852E-2</v>
      </c>
      <c r="F75" s="232">
        <f t="shared" si="2"/>
        <v>-0.21242976009938744</v>
      </c>
      <c r="G75" s="232">
        <f t="shared" si="2"/>
        <v>-3.4477960561740517E-2</v>
      </c>
      <c r="H75" s="232">
        <f t="shared" si="2"/>
        <v>-4.0590903655263633E-2</v>
      </c>
      <c r="I75" s="232">
        <f t="shared" si="2"/>
        <v>-1.8989123286668193E-2</v>
      </c>
    </row>
    <row r="76" spans="2:10" x14ac:dyDescent="0.3">
      <c r="C76" s="8" t="s">
        <v>82</v>
      </c>
      <c r="D76" s="11" t="s">
        <v>127</v>
      </c>
      <c r="E76" s="232">
        <f t="shared" si="2"/>
        <v>-0.18255046289270013</v>
      </c>
      <c r="F76" s="232">
        <f t="shared" si="2"/>
        <v>3.6159684793232172E-2</v>
      </c>
      <c r="G76" s="232">
        <f t="shared" si="2"/>
        <v>0.12268023729071623</v>
      </c>
      <c r="H76" s="232">
        <f t="shared" si="2"/>
        <v>0.20561665396699691</v>
      </c>
      <c r="I76" s="232">
        <f t="shared" si="2"/>
        <v>0.15209176540971511</v>
      </c>
    </row>
    <row r="77" spans="2:10" x14ac:dyDescent="0.3">
      <c r="C77" s="8" t="s">
        <v>85</v>
      </c>
      <c r="D77" s="11" t="s">
        <v>127</v>
      </c>
      <c r="E77" s="232">
        <f t="shared" si="2"/>
        <v>-0.24360924390363528</v>
      </c>
      <c r="F77" s="232">
        <f t="shared" si="2"/>
        <v>-0.21701010101010096</v>
      </c>
      <c r="G77" s="232">
        <f t="shared" si="2"/>
        <v>0.14923972217007694</v>
      </c>
      <c r="H77" s="232">
        <f t="shared" si="2"/>
        <v>0.20324427480916027</v>
      </c>
      <c r="I77" s="232">
        <f t="shared" si="2"/>
        <v>0.23617364709880206</v>
      </c>
    </row>
    <row r="78" spans="2:10" x14ac:dyDescent="0.3">
      <c r="C78" s="8" t="s">
        <v>87</v>
      </c>
      <c r="D78" s="11" t="s">
        <v>127</v>
      </c>
      <c r="E78" s="232">
        <f t="shared" si="2"/>
        <v>-0.11263159716663115</v>
      </c>
      <c r="F78" s="232">
        <f t="shared" si="2"/>
        <v>-0.17223270578253683</v>
      </c>
      <c r="G78" s="232">
        <f t="shared" si="2"/>
        <v>-0.10166665653747892</v>
      </c>
      <c r="H78" s="232">
        <f t="shared" si="2"/>
        <v>3.0680608188990773E-2</v>
      </c>
      <c r="I78" s="232">
        <f t="shared" si="2"/>
        <v>6.0101223923035942E-2</v>
      </c>
    </row>
    <row r="79" spans="2:10" x14ac:dyDescent="0.3">
      <c r="C79" s="8" t="s">
        <v>89</v>
      </c>
      <c r="D79" s="11" t="s">
        <v>127</v>
      </c>
      <c r="E79" s="232">
        <f t="shared" si="2"/>
        <v>-1.8955136998848199E-2</v>
      </c>
      <c r="F79" s="232">
        <f t="shared" si="2"/>
        <v>-0.12113326442687987</v>
      </c>
      <c r="G79" s="232">
        <f t="shared" si="2"/>
        <v>-8.5158993168023056E-2</v>
      </c>
      <c r="H79" s="232">
        <f t="shared" si="2"/>
        <v>3.5010654104223216E-2</v>
      </c>
      <c r="I79" s="232">
        <f t="shared" si="2"/>
        <v>0.17320166339682172</v>
      </c>
    </row>
    <row r="80" spans="2:10" x14ac:dyDescent="0.3">
      <c r="C80" s="8" t="s">
        <v>91</v>
      </c>
      <c r="D80" s="11" t="s">
        <v>127</v>
      </c>
      <c r="E80" s="232">
        <f t="shared" si="2"/>
        <v>-0.23242789134696162</v>
      </c>
      <c r="F80" s="232">
        <f t="shared" si="2"/>
        <v>-0.12983009043573582</v>
      </c>
      <c r="G80" s="232">
        <f t="shared" si="2"/>
        <v>-0.14481482651926714</v>
      </c>
      <c r="H80" s="232">
        <f t="shared" si="2"/>
        <v>-0.13426051625391688</v>
      </c>
      <c r="I80" s="232">
        <f t="shared" si="2"/>
        <v>-0.12822620309028912</v>
      </c>
    </row>
    <row r="81" spans="2:10" x14ac:dyDescent="0.3">
      <c r="C81" s="8" t="s">
        <v>94</v>
      </c>
      <c r="D81" s="11" t="s">
        <v>127</v>
      </c>
      <c r="E81" s="232">
        <f t="shared" si="2"/>
        <v>-0.20534779090840971</v>
      </c>
      <c r="F81" s="232">
        <f t="shared" si="2"/>
        <v>-0.17296218117853993</v>
      </c>
      <c r="G81" s="232">
        <f t="shared" si="2"/>
        <v>-1.5168770704628888E-2</v>
      </c>
      <c r="H81" s="232">
        <f t="shared" si="2"/>
        <v>9.0945054351287136E-2</v>
      </c>
      <c r="I81" s="232">
        <f t="shared" si="2"/>
        <v>0.33306935934598103</v>
      </c>
    </row>
    <row r="82" spans="2:10" x14ac:dyDescent="0.3">
      <c r="C82" s="8" t="s">
        <v>96</v>
      </c>
      <c r="D82" s="11" t="s">
        <v>127</v>
      </c>
      <c r="E82" s="232">
        <f t="shared" si="2"/>
        <v>3.7524214574987287E-2</v>
      </c>
      <c r="F82" s="232">
        <f t="shared" si="2"/>
        <v>4.8280218787116955E-2</v>
      </c>
      <c r="G82" s="232">
        <f t="shared" si="2"/>
        <v>4.0289577264366633E-2</v>
      </c>
      <c r="H82" s="232">
        <f t="shared" si="2"/>
        <v>0.1341176059658746</v>
      </c>
      <c r="I82" s="232">
        <f t="shared" si="2"/>
        <v>0.20771979442618665</v>
      </c>
    </row>
    <row r="83" spans="2:10" x14ac:dyDescent="0.3">
      <c r="C83" s="8" t="s">
        <v>98</v>
      </c>
      <c r="D83" s="11" t="s">
        <v>127</v>
      </c>
      <c r="E83" s="232">
        <f t="shared" si="2"/>
        <v>0.15128554430412489</v>
      </c>
      <c r="F83" s="232">
        <f t="shared" si="2"/>
        <v>0.11248771598634255</v>
      </c>
      <c r="G83" s="232">
        <f t="shared" si="2"/>
        <v>3.6251120065206165E-2</v>
      </c>
      <c r="H83" s="232">
        <f t="shared" si="2"/>
        <v>4.2303032958604216E-3</v>
      </c>
      <c r="I83" s="232">
        <f t="shared" si="2"/>
        <v>3.8753601845444394E-2</v>
      </c>
    </row>
    <row r="84" spans="2:10" x14ac:dyDescent="0.3">
      <c r="C84" s="8" t="s">
        <v>100</v>
      </c>
      <c r="D84" s="11" t="s">
        <v>127</v>
      </c>
      <c r="E84" s="232">
        <f t="shared" si="2"/>
        <v>-9.5831869738750533E-2</v>
      </c>
      <c r="F84" s="232">
        <f t="shared" si="2"/>
        <v>-0.13877901818531319</v>
      </c>
      <c r="G84" s="232">
        <f t="shared" si="2"/>
        <v>-0.10006959837569869</v>
      </c>
      <c r="H84" s="232">
        <f t="shared" si="2"/>
        <v>-6.4392220499361053E-2</v>
      </c>
      <c r="I84" s="232">
        <f t="shared" si="2"/>
        <v>-1.150937494714664E-2</v>
      </c>
    </row>
    <row r="85" spans="2:10" x14ac:dyDescent="0.3">
      <c r="C85" s="8" t="s">
        <v>102</v>
      </c>
      <c r="D85" s="11" t="s">
        <v>127</v>
      </c>
      <c r="E85" s="232">
        <f t="shared" ref="E85:I91" si="3" xml:space="preserve"> IFERROR( E63 / E41, 0 )</f>
        <v>-0.21966610230647537</v>
      </c>
      <c r="F85" s="232">
        <f t="shared" si="3"/>
        <v>-3.3538888570938057E-2</v>
      </c>
      <c r="G85" s="232">
        <f t="shared" si="3"/>
        <v>4.012932330827073E-2</v>
      </c>
      <c r="H85" s="232">
        <f t="shared" si="3"/>
        <v>0.2318758921192999</v>
      </c>
      <c r="I85" s="232">
        <f t="shared" si="3"/>
        <v>0.16008978221264342</v>
      </c>
    </row>
    <row r="86" spans="2:10" x14ac:dyDescent="0.3">
      <c r="C86" s="8" t="s">
        <v>104</v>
      </c>
      <c r="D86" s="11" t="s">
        <v>127</v>
      </c>
      <c r="E86" s="232">
        <f t="shared" si="3"/>
        <v>-0.10541356492969364</v>
      </c>
      <c r="F86" s="232">
        <f t="shared" si="3"/>
        <v>-1.836266884977494E-2</v>
      </c>
      <c r="G86" s="232">
        <f t="shared" si="3"/>
        <v>5.3838907206782749E-2</v>
      </c>
      <c r="H86" s="232">
        <f t="shared" si="3"/>
        <v>9.5982010045650393E-2</v>
      </c>
      <c r="I86" s="232">
        <f t="shared" si="3"/>
        <v>0.14739045492430089</v>
      </c>
    </row>
    <row r="87" spans="2:10" x14ac:dyDescent="0.3">
      <c r="C87" s="8" t="s">
        <v>106</v>
      </c>
      <c r="D87" s="11" t="s">
        <v>127</v>
      </c>
      <c r="E87" s="232">
        <f t="shared" si="3"/>
        <v>-0.26305858611353089</v>
      </c>
      <c r="F87" s="232">
        <f t="shared" si="3"/>
        <v>-0.10336526272877265</v>
      </c>
      <c r="G87" s="232">
        <f t="shared" si="3"/>
        <v>8.853197273416287E-2</v>
      </c>
      <c r="H87" s="232">
        <f t="shared" si="3"/>
        <v>0.11814843009725529</v>
      </c>
      <c r="I87" s="232">
        <f t="shared" si="3"/>
        <v>0.22401735825231398</v>
      </c>
    </row>
    <row r="88" spans="2:10" x14ac:dyDescent="0.3">
      <c r="C88" s="8" t="s">
        <v>108</v>
      </c>
      <c r="D88" s="11" t="s">
        <v>127</v>
      </c>
      <c r="E88" s="232">
        <f t="shared" si="3"/>
        <v>-6.7885117493472494E-2</v>
      </c>
      <c r="F88" s="232">
        <f t="shared" si="3"/>
        <v>3.7988359530198379E-3</v>
      </c>
      <c r="G88" s="232">
        <f t="shared" si="3"/>
        <v>-0.21918372955888413</v>
      </c>
      <c r="H88" s="232">
        <f t="shared" si="3"/>
        <v>0.1378743608473339</v>
      </c>
      <c r="I88" s="232">
        <f t="shared" si="3"/>
        <v>0.158225664225741</v>
      </c>
    </row>
    <row r="89" spans="2:10" x14ac:dyDescent="0.3">
      <c r="C89" s="8" t="s">
        <v>112</v>
      </c>
      <c r="D89" s="11" t="s">
        <v>127</v>
      </c>
      <c r="E89" s="232">
        <f t="shared" si="3"/>
        <v>-3.1169709263015637E-2</v>
      </c>
      <c r="F89" s="232">
        <f t="shared" si="3"/>
        <v>-8.2918537524053829E-2</v>
      </c>
      <c r="G89" s="232">
        <f t="shared" si="3"/>
        <v>-0.103558912386707</v>
      </c>
      <c r="H89" s="232">
        <f t="shared" si="3"/>
        <v>-2.8968553459119462E-2</v>
      </c>
      <c r="I89" s="232">
        <f t="shared" si="3"/>
        <v>3.2243935309973021E-2</v>
      </c>
    </row>
    <row r="90" spans="2:10" x14ac:dyDescent="0.3">
      <c r="C90" s="8" t="s">
        <v>114</v>
      </c>
      <c r="D90" s="11" t="s">
        <v>127</v>
      </c>
      <c r="E90" s="232">
        <f t="shared" si="3"/>
        <v>-5.4677817955678505E-2</v>
      </c>
      <c r="F90" s="232">
        <f t="shared" si="3"/>
        <v>-1.9333210940593575E-2</v>
      </c>
      <c r="G90" s="232">
        <f t="shared" si="3"/>
        <v>5.304329052858224E-2</v>
      </c>
      <c r="H90" s="232">
        <f t="shared" si="3"/>
        <v>3.7050816580496887E-2</v>
      </c>
      <c r="I90" s="232">
        <f t="shared" si="3"/>
        <v>2.3629010234469394E-2</v>
      </c>
    </row>
    <row r="91" spans="2:10" x14ac:dyDescent="0.3">
      <c r="C91" s="8" t="s">
        <v>110</v>
      </c>
      <c r="D91" s="11" t="s">
        <v>127</v>
      </c>
      <c r="E91" s="232">
        <f t="shared" si="3"/>
        <v>-5.0291857738159328E-2</v>
      </c>
      <c r="F91" s="232">
        <f t="shared" si="3"/>
        <v>-4.9546284957775452E-2</v>
      </c>
      <c r="G91" s="232">
        <f t="shared" si="3"/>
        <v>-6.7926535469825439E-2</v>
      </c>
      <c r="H91" s="232">
        <f t="shared" si="3"/>
        <v>3.9402155066252956E-2</v>
      </c>
      <c r="I91" s="232">
        <f t="shared" si="3"/>
        <v>0.19327060784932598</v>
      </c>
    </row>
    <row r="93" spans="2:10" x14ac:dyDescent="0.3">
      <c r="C93" s="12" t="s">
        <v>424</v>
      </c>
      <c r="D93" s="13" t="s">
        <v>127</v>
      </c>
      <c r="E93" s="232">
        <f xml:space="preserve"> IFERROR( E71 / E49, 0 )</f>
        <v>-5.7912574733999328E-2</v>
      </c>
      <c r="F93" s="232">
        <f xml:space="preserve"> IFERROR( F71 / F49, 0 )</f>
        <v>-5.6052134308644981E-2</v>
      </c>
      <c r="G93" s="232">
        <f xml:space="preserve"> IFERROR( G71 / G49, 0 )</f>
        <v>-1.0313467485358434E-2</v>
      </c>
      <c r="H93" s="232">
        <f xml:space="preserve"> IFERROR( H71 / H49, 0 )</f>
        <v>6.2194570683445402E-2</v>
      </c>
      <c r="I93" s="232">
        <f xml:space="preserve"> IFERROR( I71 / I49, 0 )</f>
        <v>0.11648022239930531</v>
      </c>
    </row>
    <row r="95" spans="2:10" ht="13.5" x14ac:dyDescent="0.35">
      <c r="B95" s="9" t="s">
        <v>556</v>
      </c>
      <c r="C95" s="9"/>
      <c r="D95" s="10"/>
      <c r="E95" s="9"/>
      <c r="F95" s="9"/>
      <c r="G95" s="9"/>
      <c r="H95" s="9"/>
      <c r="I95" s="9"/>
      <c r="J95" s="9"/>
    </row>
    <row r="97" spans="2:10" ht="13.5" x14ac:dyDescent="0.35">
      <c r="B97" s="32" t="s">
        <v>552</v>
      </c>
      <c r="C97" s="32"/>
      <c r="D97" s="33"/>
      <c r="E97" s="32"/>
      <c r="F97" s="32"/>
      <c r="G97" s="32"/>
      <c r="H97" s="32"/>
      <c r="I97" s="32"/>
      <c r="J97" s="32"/>
    </row>
    <row r="99" spans="2:10" x14ac:dyDescent="0.3">
      <c r="C99" s="8" t="s">
        <v>80</v>
      </c>
      <c r="D99" s="11" t="s">
        <v>127</v>
      </c>
      <c r="E99" s="233">
        <f xml:space="preserve"> SUMIFS( 'INPUTS│Wholesale Totex'!E$49:E$83, 'INPUTS│Wholesale Totex'!$C$49:$C$83, $C99 )</f>
        <v>719.30962902928763</v>
      </c>
      <c r="F99" s="233">
        <f xml:space="preserve"> SUMIFS( 'INPUTS│Wholesale Totex'!F$49:F$83, 'INPUTS│Wholesale Totex'!$C$49:$C$83, $C99 )</f>
        <v>1468.1132990112724</v>
      </c>
      <c r="G99" s="233">
        <f xml:space="preserve"> SUMIFS( 'INPUTS│Wholesale Totex'!G$49:G$83, 'INPUTS│Wholesale Totex'!$C$49:$C$83, $C99 )</f>
        <v>2270.1336313117408</v>
      </c>
      <c r="H99" s="233">
        <f xml:space="preserve"> SUMIFS( 'INPUTS│Wholesale Totex'!H$49:H$83, 'INPUTS│Wholesale Totex'!$C$49:$C$83, $C99 )</f>
        <v>3043.97044748194</v>
      </c>
      <c r="I99" s="233">
        <f xml:space="preserve"> SUMIFS( 'INPUTS│Wholesale Totex'!I$49:I$83, 'INPUTS│Wholesale Totex'!$C$49:$C$83, $C99 )</f>
        <v>3821.17</v>
      </c>
    </row>
    <row r="100" spans="2:10" x14ac:dyDescent="0.3">
      <c r="C100" s="8" t="s">
        <v>82</v>
      </c>
      <c r="D100" s="11" t="s">
        <v>127</v>
      </c>
      <c r="E100" s="233">
        <f xml:space="preserve"> SUMIFS( 'INPUTS│Wholesale Totex'!E$49:E$83, 'INPUTS│Wholesale Totex'!$C$49:$C$83, $C100 )</f>
        <v>430.89400000000001</v>
      </c>
      <c r="F100" s="233">
        <f xml:space="preserve"> SUMIFS( 'INPUTS│Wholesale Totex'!F$49:F$83, 'INPUTS│Wholesale Totex'!$C$49:$C$83, $C100 )</f>
        <v>970.52700000000004</v>
      </c>
      <c r="G100" s="233">
        <f xml:space="preserve"> SUMIFS( 'INPUTS│Wholesale Totex'!G$49:G$83, 'INPUTS│Wholesale Totex'!$C$49:$C$83, $C100 )</f>
        <v>1545.6570000000002</v>
      </c>
      <c r="H100" s="233">
        <f xml:space="preserve"> SUMIFS( 'INPUTS│Wholesale Totex'!H$49:H$83, 'INPUTS│Wholesale Totex'!$C$49:$C$83, $C100 )</f>
        <v>2148.4809999999998</v>
      </c>
      <c r="I100" s="233">
        <f xml:space="preserve"> SUMIFS( 'INPUTS│Wholesale Totex'!I$49:I$83, 'INPUTS│Wholesale Totex'!$C$49:$C$83, $C100 )</f>
        <v>2708.1210000000001</v>
      </c>
    </row>
    <row r="101" spans="2:10" x14ac:dyDescent="0.3">
      <c r="C101" s="8" t="s">
        <v>85</v>
      </c>
      <c r="D101" s="11" t="s">
        <v>127</v>
      </c>
      <c r="E101" s="233">
        <f xml:space="preserve"> SUMIFS( 'INPUTS│Wholesale Totex'!E$49:E$83, 'INPUTS│Wholesale Totex'!$C$49:$C$83, $C101 )</f>
        <v>15.416000000000004</v>
      </c>
      <c r="F101" s="233">
        <f xml:space="preserve"> SUMIFS( 'INPUTS│Wholesale Totex'!F$49:F$83, 'INPUTS│Wholesale Totex'!$C$49:$C$83, $C101 )</f>
        <v>34.796000000000006</v>
      </c>
      <c r="G101" s="233">
        <f xml:space="preserve"> SUMIFS( 'INPUTS│Wholesale Totex'!G$49:G$83, 'INPUTS│Wholesale Totex'!$C$49:$C$83, $C101 )</f>
        <v>59.283999999999999</v>
      </c>
      <c r="H101" s="233">
        <f xml:space="preserve"> SUMIFS( 'INPUTS│Wholesale Totex'!H$49:H$83, 'INPUTS│Wholesale Totex'!$C$49:$C$83, $C101 )</f>
        <v>85.765000000000001</v>
      </c>
      <c r="I101" s="233">
        <f xml:space="preserve"> SUMIFS( 'INPUTS│Wholesale Totex'!I$49:I$83, 'INPUTS│Wholesale Totex'!$C$49:$C$83, $C101 )</f>
        <v>114.86699999999999</v>
      </c>
    </row>
    <row r="102" spans="2:10" x14ac:dyDescent="0.3">
      <c r="C102" s="8" t="s">
        <v>87</v>
      </c>
      <c r="D102" s="11" t="s">
        <v>127</v>
      </c>
      <c r="E102" s="233">
        <f xml:space="preserve"> SUMIFS( 'INPUTS│Wholesale Totex'!E$49:E$83, 'INPUTS│Wholesale Totex'!$C$49:$C$83, $C102 )</f>
        <v>410.14700000000005</v>
      </c>
      <c r="F102" s="233">
        <f xml:space="preserve"> SUMIFS( 'INPUTS│Wholesale Totex'!F$49:F$83, 'INPUTS│Wholesale Totex'!$C$49:$C$83, $C102 )</f>
        <v>806.25600000000009</v>
      </c>
      <c r="G102" s="233">
        <f xml:space="preserve"> SUMIFS( 'INPUTS│Wholesale Totex'!G$49:G$83, 'INPUTS│Wholesale Totex'!$C$49:$C$83, $C102 )</f>
        <v>1249.694</v>
      </c>
      <c r="H102" s="233">
        <f xml:space="preserve"> SUMIFS( 'INPUTS│Wholesale Totex'!H$49:H$83, 'INPUTS│Wholesale Totex'!$C$49:$C$83, $C102 )</f>
        <v>1717.2200000000003</v>
      </c>
      <c r="I102" s="233">
        <f xml:space="preserve"> SUMIFS( 'INPUTS│Wholesale Totex'!I$49:I$83, 'INPUTS│Wholesale Totex'!$C$49:$C$83, $C102 )</f>
        <v>2151.85</v>
      </c>
    </row>
    <row r="103" spans="2:10" x14ac:dyDescent="0.3">
      <c r="C103" s="8" t="s">
        <v>89</v>
      </c>
      <c r="D103" s="11" t="s">
        <v>127</v>
      </c>
      <c r="E103" s="233">
        <f xml:space="preserve"> SUMIFS( 'INPUTS│Wholesale Totex'!E$49:E$83, 'INPUTS│Wholesale Totex'!$C$49:$C$83, $C103 )</f>
        <v>964.01</v>
      </c>
      <c r="F103" s="233">
        <f xml:space="preserve"> SUMIFS( 'INPUTS│Wholesale Totex'!F$49:F$83, 'INPUTS│Wholesale Totex'!$C$49:$C$83, $C103 )</f>
        <v>1949.5</v>
      </c>
      <c r="G103" s="233">
        <f xml:space="preserve"> SUMIFS( 'INPUTS│Wholesale Totex'!G$49:G$83, 'INPUTS│Wholesale Totex'!$C$49:$C$83, $C103 )</f>
        <v>3025.0309999999999</v>
      </c>
      <c r="H103" s="233">
        <f xml:space="preserve"> SUMIFS( 'INPUTS│Wholesale Totex'!H$49:H$83, 'INPUTS│Wholesale Totex'!$C$49:$C$83, $C103 )</f>
        <v>4225.2780000000002</v>
      </c>
      <c r="I103" s="233">
        <f xml:space="preserve"> SUMIFS( 'INPUTS│Wholesale Totex'!I$49:I$83, 'INPUTS│Wholesale Totex'!$C$49:$C$83, $C103 )</f>
        <v>5475.0779999999995</v>
      </c>
    </row>
    <row r="104" spans="2:10" x14ac:dyDescent="0.3">
      <c r="C104" s="8" t="s">
        <v>91</v>
      </c>
      <c r="D104" s="11" t="s">
        <v>127</v>
      </c>
      <c r="E104" s="233">
        <f xml:space="preserve"> SUMIFS( 'INPUTS│Wholesale Totex'!E$49:E$83, 'INPUTS│Wholesale Totex'!$C$49:$C$83, $C104 )</f>
        <v>274.10000000000002</v>
      </c>
      <c r="F104" s="233">
        <f xml:space="preserve"> SUMIFS( 'INPUTS│Wholesale Totex'!F$49:F$83, 'INPUTS│Wholesale Totex'!$C$49:$C$83, $C104 )</f>
        <v>591.59999999999991</v>
      </c>
      <c r="G104" s="233">
        <f xml:space="preserve"> SUMIFS( 'INPUTS│Wholesale Totex'!G$49:G$83, 'INPUTS│Wholesale Totex'!$C$49:$C$83, $C104 )</f>
        <v>889.41899999999998</v>
      </c>
      <c r="H104" s="233">
        <f xml:space="preserve"> SUMIFS( 'INPUTS│Wholesale Totex'!H$49:H$83, 'INPUTS│Wholesale Totex'!$C$49:$C$83, $C104 )</f>
        <v>1160.3</v>
      </c>
      <c r="I104" s="233">
        <f xml:space="preserve"> SUMIFS( 'INPUTS│Wholesale Totex'!I$49:I$83, 'INPUTS│Wholesale Totex'!$C$49:$C$83, $C104 )</f>
        <v>1424.4</v>
      </c>
    </row>
    <row r="105" spans="2:10" x14ac:dyDescent="0.3">
      <c r="C105" s="8" t="s">
        <v>94</v>
      </c>
      <c r="D105" s="11" t="s">
        <v>127</v>
      </c>
      <c r="E105" s="233">
        <f xml:space="preserve"> SUMIFS( 'INPUTS│Wholesale Totex'!E$49:E$83, 'INPUTS│Wholesale Totex'!$C$49:$C$83, $C105 )</f>
        <v>413.47899999999998</v>
      </c>
      <c r="F105" s="233">
        <f xml:space="preserve"> SUMIFS( 'INPUTS│Wholesale Totex'!F$49:F$83, 'INPUTS│Wholesale Totex'!$C$49:$C$83, $C105 )</f>
        <v>883.65000000000009</v>
      </c>
      <c r="G105" s="233">
        <f xml:space="preserve"> SUMIFS( 'INPUTS│Wholesale Totex'!G$49:G$83, 'INPUTS│Wholesale Totex'!$C$49:$C$83, $C105 )</f>
        <v>1433.6289999999999</v>
      </c>
      <c r="H105" s="233">
        <f xml:space="preserve"> SUMIFS( 'INPUTS│Wholesale Totex'!H$49:H$83, 'INPUTS│Wholesale Totex'!$C$49:$C$83, $C105 )</f>
        <v>1999.0349999999999</v>
      </c>
      <c r="I105" s="233">
        <f xml:space="preserve"> SUMIFS( 'INPUTS│Wholesale Totex'!I$49:I$83, 'INPUTS│Wholesale Totex'!$C$49:$C$83, $C105 )</f>
        <v>2613.451</v>
      </c>
    </row>
    <row r="106" spans="2:10" x14ac:dyDescent="0.3">
      <c r="C106" s="8" t="s">
        <v>96</v>
      </c>
      <c r="D106" s="11" t="s">
        <v>127</v>
      </c>
      <c r="E106" s="233">
        <f xml:space="preserve"> SUMIFS( 'INPUTS│Wholesale Totex'!E$49:E$83, 'INPUTS│Wholesale Totex'!$C$49:$C$83, $C106 )</f>
        <v>1694.2210160933671</v>
      </c>
      <c r="F106" s="233">
        <f xml:space="preserve"> SUMIFS( 'INPUTS│Wholesale Totex'!F$49:F$83, 'INPUTS│Wholesale Totex'!$C$49:$C$83, $C106 )</f>
        <v>3286.9046009031977</v>
      </c>
      <c r="G106" s="233">
        <f xml:space="preserve"> SUMIFS( 'INPUTS│Wholesale Totex'!G$49:G$83, 'INPUTS│Wholesale Totex'!$C$49:$C$83, $C106 )</f>
        <v>4883.5293814503875</v>
      </c>
      <c r="H106" s="233">
        <f xml:space="preserve"> SUMIFS( 'INPUTS│Wholesale Totex'!H$49:H$83, 'INPUTS│Wholesale Totex'!$C$49:$C$83, $C106 )</f>
        <v>6506.991</v>
      </c>
      <c r="I106" s="233">
        <f xml:space="preserve"> SUMIFS( 'INPUTS│Wholesale Totex'!I$49:I$83, 'INPUTS│Wholesale Totex'!$C$49:$C$83, $C106 )</f>
        <v>8064.7709999999997</v>
      </c>
    </row>
    <row r="107" spans="2:10" x14ac:dyDescent="0.3">
      <c r="C107" s="8" t="s">
        <v>98</v>
      </c>
      <c r="D107" s="11" t="s">
        <v>127</v>
      </c>
      <c r="E107" s="233">
        <f xml:space="preserve"> SUMIFS( 'INPUTS│Wholesale Totex'!E$49:E$83, 'INPUTS│Wholesale Totex'!$C$49:$C$83, $C107 )</f>
        <v>1153.4729868383031</v>
      </c>
      <c r="F107" s="233">
        <f xml:space="preserve"> SUMIFS( 'INPUTS│Wholesale Totex'!F$49:F$83, 'INPUTS│Wholesale Totex'!$C$49:$C$83, $C107 )</f>
        <v>2314.4651672416503</v>
      </c>
      <c r="G107" s="233">
        <f xml:space="preserve"> SUMIFS( 'INPUTS│Wholesale Totex'!G$49:G$83, 'INPUTS│Wholesale Totex'!$C$49:$C$83, $C107 )</f>
        <v>3452.1652719612403</v>
      </c>
      <c r="H107" s="233">
        <f xml:space="preserve"> SUMIFS( 'INPUTS│Wholesale Totex'!H$49:H$83, 'INPUTS│Wholesale Totex'!$C$49:$C$83, $C107 )</f>
        <v>4593.3725886266502</v>
      </c>
      <c r="I107" s="233">
        <f xml:space="preserve"> SUMIFS( 'INPUTS│Wholesale Totex'!I$49:I$83, 'INPUTS│Wholesale Totex'!$C$49:$C$83, $C107 )</f>
        <v>5640.2284685664899</v>
      </c>
    </row>
    <row r="108" spans="2:10" x14ac:dyDescent="0.3">
      <c r="C108" s="8" t="s">
        <v>100</v>
      </c>
      <c r="D108" s="11" t="s">
        <v>127</v>
      </c>
      <c r="E108" s="233">
        <f xml:space="preserve"> SUMIFS( 'INPUTS│Wholesale Totex'!E$49:E$83, 'INPUTS│Wholesale Totex'!$C$49:$C$83, $C108 )</f>
        <v>304.44145257215308</v>
      </c>
      <c r="F108" s="233">
        <f xml:space="preserve"> SUMIFS( 'INPUTS│Wholesale Totex'!F$49:F$83, 'INPUTS│Wholesale Totex'!$C$49:$C$83, $C108 )</f>
        <v>610.95000000000005</v>
      </c>
      <c r="G108" s="233">
        <f xml:space="preserve"> SUMIFS( 'INPUTS│Wholesale Totex'!G$49:G$83, 'INPUTS│Wholesale Totex'!$C$49:$C$83, $C108 )</f>
        <v>949.37900000000002</v>
      </c>
      <c r="H108" s="233">
        <f xml:space="preserve"> SUMIFS( 'INPUTS│Wholesale Totex'!H$49:H$83, 'INPUTS│Wholesale Totex'!$C$49:$C$83, $C108 )</f>
        <v>1283.295623237452</v>
      </c>
      <c r="I108" s="233">
        <f xml:space="preserve"> SUMIFS( 'INPUTS│Wholesale Totex'!I$49:I$83, 'INPUTS│Wholesale Totex'!$C$49:$C$83, $C108 )</f>
        <v>1622.446756693085</v>
      </c>
    </row>
    <row r="109" spans="2:10" x14ac:dyDescent="0.3">
      <c r="C109" s="8" t="s">
        <v>102</v>
      </c>
      <c r="D109" s="11" t="s">
        <v>127</v>
      </c>
      <c r="E109" s="233">
        <f xml:space="preserve"> SUMIFS( 'INPUTS│Wholesale Totex'!E$49:E$83, 'INPUTS│Wholesale Totex'!$C$49:$C$83, $C109 )</f>
        <v>562.29300000000001</v>
      </c>
      <c r="F109" s="233">
        <f xml:space="preserve"> SUMIFS( 'INPUTS│Wholesale Totex'!F$49:F$83, 'INPUTS│Wholesale Totex'!$C$49:$C$83, $C109 )</f>
        <v>1237.7719999999999</v>
      </c>
      <c r="G109" s="233">
        <f xml:space="preserve"> SUMIFS( 'INPUTS│Wholesale Totex'!G$49:G$83, 'INPUTS│Wholesale Totex'!$C$49:$C$83, $C109 )</f>
        <v>1929.4580000000001</v>
      </c>
      <c r="H109" s="233">
        <f xml:space="preserve"> SUMIFS( 'INPUTS│Wholesale Totex'!H$49:H$83, 'INPUTS│Wholesale Totex'!$C$49:$C$83, $C109 )</f>
        <v>2749.3330000000001</v>
      </c>
      <c r="I109" s="233">
        <f xml:space="preserve"> SUMIFS( 'INPUTS│Wholesale Totex'!I$49:I$83, 'INPUTS│Wholesale Totex'!$C$49:$C$83, $C109 )</f>
        <v>3528.7370000000001</v>
      </c>
    </row>
    <row r="110" spans="2:10" x14ac:dyDescent="0.3">
      <c r="C110" s="8" t="s">
        <v>104</v>
      </c>
      <c r="D110" s="11" t="s">
        <v>127</v>
      </c>
      <c r="E110" s="233">
        <f xml:space="preserve"> SUMIFS( 'INPUTS│Wholesale Totex'!E$49:E$83, 'INPUTS│Wholesale Totex'!$C$49:$C$83, $C110 )</f>
        <v>216.31100000000004</v>
      </c>
      <c r="F110" s="233">
        <f xml:space="preserve"> SUMIFS( 'INPUTS│Wholesale Totex'!F$49:F$83, 'INPUTS│Wholesale Totex'!$C$49:$C$83, $C110 )</f>
        <v>456.125</v>
      </c>
      <c r="G110" s="233">
        <f xml:space="preserve"> SUMIFS( 'INPUTS│Wholesale Totex'!G$49:G$83, 'INPUTS│Wholesale Totex'!$C$49:$C$83, $C110 )</f>
        <v>679.85500000000002</v>
      </c>
      <c r="H110" s="233">
        <f xml:space="preserve"> SUMIFS( 'INPUTS│Wholesale Totex'!H$49:H$83, 'INPUTS│Wholesale Totex'!$C$49:$C$83, $C110 )</f>
        <v>885.73109060977197</v>
      </c>
      <c r="I110" s="233">
        <f xml:space="preserve"> SUMIFS( 'INPUTS│Wholesale Totex'!I$49:I$83, 'INPUTS│Wholesale Totex'!$C$49:$C$83, $C110 )</f>
        <v>1086.5645788874499</v>
      </c>
    </row>
    <row r="111" spans="2:10" x14ac:dyDescent="0.3">
      <c r="C111" s="8" t="s">
        <v>106</v>
      </c>
      <c r="D111" s="11" t="s">
        <v>127</v>
      </c>
      <c r="E111" s="233">
        <f xml:space="preserve"> SUMIFS( 'INPUTS│Wholesale Totex'!E$49:E$83, 'INPUTS│Wholesale Totex'!$C$49:$C$83, $C111 )</f>
        <v>63.971667865861491</v>
      </c>
      <c r="F111" s="233">
        <f xml:space="preserve"> SUMIFS( 'INPUTS│Wholesale Totex'!F$49:F$83, 'INPUTS│Wholesale Totex'!$C$49:$C$83, $C111 )</f>
        <v>139.29054119521143</v>
      </c>
      <c r="G111" s="233">
        <f xml:space="preserve"> SUMIFS( 'INPUTS│Wholesale Totex'!G$49:G$83, 'INPUTS│Wholesale Totex'!$C$49:$C$83, $C111 )</f>
        <v>230.368471778133</v>
      </c>
      <c r="H111" s="233">
        <f xml:space="preserve"> SUMIFS( 'INPUTS│Wholesale Totex'!H$49:H$83, 'INPUTS│Wholesale Totex'!$C$49:$C$83, $C111 )</f>
        <v>323.24464617587398</v>
      </c>
      <c r="I111" s="233">
        <f xml:space="preserve"> SUMIFS( 'INPUTS│Wholesale Totex'!I$49:I$83, 'INPUTS│Wholesale Totex'!$C$49:$C$83, $C111 )</f>
        <v>426.46905587280889</v>
      </c>
    </row>
    <row r="112" spans="2:10" x14ac:dyDescent="0.3">
      <c r="C112" s="8" t="s">
        <v>108</v>
      </c>
      <c r="D112" s="11" t="s">
        <v>127</v>
      </c>
      <c r="E112" s="233">
        <f xml:space="preserve"> SUMIFS( 'INPUTS│Wholesale Totex'!E$49:E$83, 'INPUTS│Wholesale Totex'!$C$49:$C$83, $C112 )</f>
        <v>24.632999999999996</v>
      </c>
      <c r="F112" s="233">
        <f xml:space="preserve"> SUMIFS( 'INPUTS│Wholesale Totex'!F$49:F$83, 'INPUTS│Wholesale Totex'!$C$49:$C$83, $C112 )</f>
        <v>53.434999999999995</v>
      </c>
      <c r="G112" s="233">
        <f xml:space="preserve"> SUMIFS( 'INPUTS│Wholesale Totex'!G$49:G$83, 'INPUTS│Wholesale Totex'!$C$49:$C$83, $C112 )</f>
        <v>76.162999999999997</v>
      </c>
      <c r="H112" s="233">
        <f xml:space="preserve"> SUMIFS( 'INPUTS│Wholesale Totex'!H$49:H$83, 'INPUTS│Wholesale Totex'!$C$49:$C$83, $C112 )</f>
        <v>107.31699999999999</v>
      </c>
      <c r="I112" s="233">
        <f xml:space="preserve"> SUMIFS( 'INPUTS│Wholesale Totex'!I$49:I$83, 'INPUTS│Wholesale Totex'!$C$49:$C$83, $C112 )</f>
        <v>137.52000000000001</v>
      </c>
    </row>
    <row r="113" spans="2:10" x14ac:dyDescent="0.3">
      <c r="C113" s="8" t="s">
        <v>112</v>
      </c>
      <c r="D113" s="11" t="s">
        <v>127</v>
      </c>
      <c r="E113" s="233">
        <f xml:space="preserve"> SUMIFS( 'INPUTS│Wholesale Totex'!E$49:E$83, 'INPUTS│Wholesale Totex'!$C$49:$C$83, $C113 )</f>
        <v>143.29000000000002</v>
      </c>
      <c r="F113" s="233">
        <f xml:space="preserve"> SUMIFS( 'INPUTS│Wholesale Totex'!F$49:F$83, 'INPUTS│Wholesale Totex'!$C$49:$C$83, $C113 )</f>
        <v>286.26300000000003</v>
      </c>
      <c r="G113" s="233">
        <f xml:space="preserve"> SUMIFS( 'INPUTS│Wholesale Totex'!G$49:G$83, 'INPUTS│Wholesale Totex'!$C$49:$C$83, $C113 )</f>
        <v>434.62400000000002</v>
      </c>
      <c r="H113" s="233">
        <f xml:space="preserve"> SUMIFS( 'INPUTS│Wholesale Totex'!H$49:H$83, 'INPUTS│Wholesale Totex'!$C$49:$C$83, $C113 )</f>
        <v>589.01800000000003</v>
      </c>
      <c r="I113" s="233">
        <f xml:space="preserve"> SUMIFS( 'INPUTS│Wholesale Totex'!I$49:I$83, 'INPUTS│Wholesale Totex'!$C$49:$C$83, $C113 )</f>
        <v>742.20299999999997</v>
      </c>
    </row>
    <row r="114" spans="2:10" x14ac:dyDescent="0.3">
      <c r="C114" s="8" t="s">
        <v>114</v>
      </c>
      <c r="D114" s="11" t="s">
        <v>127</v>
      </c>
      <c r="E114" s="233">
        <f xml:space="preserve"> SUMIFS( 'INPUTS│Wholesale Totex'!E$49:E$83, 'INPUTS│Wholesale Totex'!$C$49:$C$83, $C114 )</f>
        <v>72.573732321234701</v>
      </c>
      <c r="F114" s="233">
        <f xml:space="preserve"> SUMIFS( 'INPUTS│Wholesale Totex'!F$49:F$83, 'INPUTS│Wholesale Totex'!$C$49:$C$83, $C114 )</f>
        <v>148.59744570802042</v>
      </c>
      <c r="G114" s="233">
        <f xml:space="preserve"> SUMIFS( 'INPUTS│Wholesale Totex'!G$49:G$83, 'INPUTS│Wholesale Totex'!$C$49:$C$83, $C114 )</f>
        <v>230.528849186147</v>
      </c>
      <c r="H114" s="233">
        <f xml:space="preserve"> SUMIFS( 'INPUTS│Wholesale Totex'!H$49:H$83, 'INPUTS│Wholesale Totex'!$C$49:$C$83, $C114 )</f>
        <v>311.36399999999998</v>
      </c>
      <c r="I114" s="233">
        <f xml:space="preserve"> SUMIFS( 'INPUTS│Wholesale Totex'!I$49:I$83, 'INPUTS│Wholesale Totex'!$C$49:$C$83, $C114 )</f>
        <v>390.07799999999997</v>
      </c>
    </row>
    <row r="115" spans="2:10" x14ac:dyDescent="0.3">
      <c r="C115" s="8" t="s">
        <v>110</v>
      </c>
      <c r="D115" s="11" t="s">
        <v>127</v>
      </c>
      <c r="E115" s="233">
        <f xml:space="preserve"> SUMIFS( 'INPUTS│Wholesale Totex'!E$49:E$83, 'INPUTS│Wholesale Totex'!$C$49:$C$83, $C115 )</f>
        <v>38.804999999999993</v>
      </c>
      <c r="F115" s="233">
        <f xml:space="preserve"> SUMIFS( 'INPUTS│Wholesale Totex'!F$49:F$83, 'INPUTS│Wholesale Totex'!$C$49:$C$83, $C115 )</f>
        <v>81.640999999999991</v>
      </c>
      <c r="G115" s="233">
        <f xml:space="preserve"> SUMIFS( 'INPUTS│Wholesale Totex'!G$49:G$83, 'INPUTS│Wholesale Totex'!$C$49:$C$83, $C115 )</f>
        <v>125.8</v>
      </c>
      <c r="H115" s="233">
        <f xml:space="preserve"> SUMIFS( 'INPUTS│Wholesale Totex'!H$49:H$83, 'INPUTS│Wholesale Totex'!$C$49:$C$83, $C115 )</f>
        <v>171.28100000000001</v>
      </c>
      <c r="I115" s="233">
        <f xml:space="preserve"> SUMIFS( 'INPUTS│Wholesale Totex'!I$49:I$83, 'INPUTS│Wholesale Totex'!$C$49:$C$83, $C115 )</f>
        <v>219.27600000000001</v>
      </c>
    </row>
    <row r="117" spans="2:10" x14ac:dyDescent="0.3">
      <c r="C117" s="12" t="s">
        <v>424</v>
      </c>
      <c r="D117" s="13" t="s">
        <v>127</v>
      </c>
      <c r="E117" s="14">
        <f>SUM(E99:E115)</f>
        <v>7501.3684847202057</v>
      </c>
      <c r="F117" s="14">
        <f>SUM(F99:F115)</f>
        <v>15319.886054059352</v>
      </c>
      <c r="G117" s="14">
        <f>SUM(G99:G115)</f>
        <v>23464.718605687649</v>
      </c>
      <c r="H117" s="14">
        <f>SUM(H99:H115)</f>
        <v>31900.997396131686</v>
      </c>
      <c r="I117" s="14">
        <f>SUM(I99:I115)</f>
        <v>40167.23086001983</v>
      </c>
    </row>
    <row r="119" spans="2:10" ht="13.5" x14ac:dyDescent="0.35">
      <c r="B119" s="32" t="s">
        <v>553</v>
      </c>
      <c r="C119" s="32"/>
      <c r="D119" s="33"/>
      <c r="E119" s="32"/>
      <c r="F119" s="32"/>
      <c r="G119" s="32"/>
      <c r="H119" s="32"/>
      <c r="I119" s="32"/>
      <c r="J119" s="32"/>
    </row>
    <row r="121" spans="2:10" x14ac:dyDescent="0.3">
      <c r="C121" s="8" t="s">
        <v>80</v>
      </c>
      <c r="D121" s="11" t="s">
        <v>127</v>
      </c>
      <c r="E121" s="233">
        <f xml:space="preserve"> SUMIFS( 'INPUTS│Wholesale Totex'!E$129:E$163, 'INPUTS│Wholesale Totex'!$C$129:$C$163, $C121 )</f>
        <v>780.02696286598302</v>
      </c>
      <c r="F121" s="233">
        <f xml:space="preserve"> SUMIFS( 'INPUTS│Wholesale Totex'!F$129:F$163, 'INPUTS│Wholesale Totex'!$C$129:$C$163, $C121 )</f>
        <v>1730.8039628659831</v>
      </c>
      <c r="G121" s="233">
        <f xml:space="preserve"> SUMIFS( 'INPUTS│Wholesale Totex'!G$129:G$163, 'INPUTS│Wholesale Totex'!$C$129:$C$163, $C121 )</f>
        <v>2561.4636948460002</v>
      </c>
      <c r="H121" s="233">
        <f xml:space="preserve"> SUMIFS( 'INPUTS│Wholesale Totex'!H$129:H$163, 'INPUTS│Wholesale Totex'!$C$129:$C$163, $C121 )</f>
        <v>3368.04017939097</v>
      </c>
      <c r="I121" s="233">
        <f xml:space="preserve"> SUMIFS( 'INPUTS│Wholesale Totex'!I$129:I$163, 'INPUTS│Wholesale Totex'!$C$129:$C$163, $C121 )</f>
        <v>4160.2829999999994</v>
      </c>
    </row>
    <row r="122" spans="2:10" x14ac:dyDescent="0.3">
      <c r="C122" s="8" t="s">
        <v>82</v>
      </c>
      <c r="D122" s="11" t="s">
        <v>127</v>
      </c>
      <c r="E122" s="233">
        <f xml:space="preserve"> SUMIFS( 'INPUTS│Wholesale Totex'!E$129:E$163, 'INPUTS│Wholesale Totex'!$C$129:$C$163, $C122 )</f>
        <v>527.12000000000012</v>
      </c>
      <c r="F122" s="233">
        <f xml:space="preserve"> SUMIFS( 'INPUTS│Wholesale Totex'!F$129:F$163, 'INPUTS│Wholesale Totex'!$C$129:$C$163, $C122 )</f>
        <v>1047.9210000000003</v>
      </c>
      <c r="G122" s="233">
        <f xml:space="preserve"> SUMIFS( 'INPUTS│Wholesale Totex'!G$129:G$163, 'INPUTS│Wholesale Totex'!$C$129:$C$163, $C122 )</f>
        <v>1560.2040000000002</v>
      </c>
      <c r="H122" s="233">
        <f xml:space="preserve"> SUMIFS( 'INPUTS│Wholesale Totex'!H$129:H$163, 'INPUTS│Wholesale Totex'!$C$129:$C$163, $C122 )</f>
        <v>2060.2190000000001</v>
      </c>
      <c r="I122" s="233">
        <f xml:space="preserve"> SUMIFS( 'INPUTS│Wholesale Totex'!I$129:I$163, 'INPUTS│Wholesale Totex'!$C$129:$C$163, $C122 )</f>
        <v>2551.6440000000002</v>
      </c>
    </row>
    <row r="123" spans="2:10" x14ac:dyDescent="0.3">
      <c r="C123" s="8" t="s">
        <v>85</v>
      </c>
      <c r="D123" s="11" t="s">
        <v>127</v>
      </c>
      <c r="E123" s="233">
        <f xml:space="preserve"> SUMIFS( 'INPUTS│Wholesale Totex'!E$129:E$163, 'INPUTS│Wholesale Totex'!$C$129:$C$163, $C123 )</f>
        <v>20.380999999999993</v>
      </c>
      <c r="F123" s="233">
        <f xml:space="preserve"> SUMIFS( 'INPUTS│Wholesale Totex'!F$129:F$163, 'INPUTS│Wholesale Totex'!$C$129:$C$163, $C123 )</f>
        <v>45.130999999999993</v>
      </c>
      <c r="G123" s="233">
        <f xml:space="preserve"> SUMIFS( 'INPUTS│Wholesale Totex'!G$129:G$163, 'INPUTS│Wholesale Totex'!$C$129:$C$163, $C123 )</f>
        <v>66.438999999999993</v>
      </c>
      <c r="H123" s="233">
        <f xml:space="preserve"> SUMIFS( 'INPUTS│Wholesale Totex'!H$129:H$163, 'INPUTS│Wholesale Totex'!$C$129:$C$163, $C123 )</f>
        <v>88.447000000000003</v>
      </c>
      <c r="I123" s="233">
        <f xml:space="preserve"> SUMIFS( 'INPUTS│Wholesale Totex'!I$129:I$163, 'INPUTS│Wholesale Totex'!$C$129:$C$163, $C123 )</f>
        <v>112.78999999999999</v>
      </c>
    </row>
    <row r="124" spans="2:10" x14ac:dyDescent="0.3">
      <c r="C124" s="8" t="s">
        <v>87</v>
      </c>
      <c r="D124" s="11" t="s">
        <v>127</v>
      </c>
      <c r="E124" s="233">
        <f xml:space="preserve"> SUMIFS( 'INPUTS│Wholesale Totex'!E$129:E$163, 'INPUTS│Wholesale Totex'!$C$129:$C$163, $C124 )</f>
        <v>462.20599999999996</v>
      </c>
      <c r="F124" s="233">
        <f xml:space="preserve"> SUMIFS( 'INPUTS│Wholesale Totex'!F$129:F$163, 'INPUTS│Wholesale Totex'!$C$129:$C$163, $C124 )</f>
        <v>940.73299999999995</v>
      </c>
      <c r="G124" s="233">
        <f xml:space="preserve"> SUMIFS( 'INPUTS│Wholesale Totex'!G$129:G$163, 'INPUTS│Wholesale Totex'!$C$129:$C$163, $C124 )</f>
        <v>1434.356</v>
      </c>
      <c r="H124" s="233">
        <f xml:space="preserve"> SUMIFS( 'INPUTS│Wholesale Totex'!H$129:H$163, 'INPUTS│Wholesale Totex'!$C$129:$C$163, $C124 )</f>
        <v>1887.9650000000001</v>
      </c>
      <c r="I124" s="233">
        <f xml:space="preserve"> SUMIFS( 'INPUTS│Wholesale Totex'!I$129:I$163, 'INPUTS│Wholesale Totex'!$C$129:$C$163, $C124 )</f>
        <v>2297.9540183749409</v>
      </c>
    </row>
    <row r="125" spans="2:10" x14ac:dyDescent="0.3">
      <c r="C125" s="8" t="s">
        <v>89</v>
      </c>
      <c r="D125" s="11" t="s">
        <v>127</v>
      </c>
      <c r="E125" s="233">
        <f xml:space="preserve"> SUMIFS( 'INPUTS│Wholesale Totex'!E$129:E$163, 'INPUTS│Wholesale Totex'!$C$129:$C$163, $C125 )</f>
        <v>982.63600000000019</v>
      </c>
      <c r="F125" s="233">
        <f xml:space="preserve"> SUMIFS( 'INPUTS│Wholesale Totex'!F$129:F$163, 'INPUTS│Wholesale Totex'!$C$129:$C$163, $C125 )</f>
        <v>2103.9630000000002</v>
      </c>
      <c r="G125" s="233">
        <f xml:space="preserve"> SUMIFS( 'INPUTS│Wholesale Totex'!G$129:G$163, 'INPUTS│Wholesale Totex'!$C$129:$C$163, $C125 )</f>
        <v>3279.6109999999999</v>
      </c>
      <c r="H125" s="233">
        <f xml:space="preserve"> SUMIFS( 'INPUTS│Wholesale Totex'!H$129:H$163, 'INPUTS│Wholesale Totex'!$C$129:$C$163, $C125 )</f>
        <v>4439.259</v>
      </c>
      <c r="I125" s="233">
        <f xml:space="preserve"> SUMIFS( 'INPUTS│Wholesale Totex'!I$129:I$163, 'INPUTS│Wholesale Totex'!$C$129:$C$163, $C125 )</f>
        <v>5504.5470000000005</v>
      </c>
    </row>
    <row r="126" spans="2:10" x14ac:dyDescent="0.3">
      <c r="C126" s="8" t="s">
        <v>91</v>
      </c>
      <c r="D126" s="11" t="s">
        <v>127</v>
      </c>
      <c r="E126" s="233">
        <f xml:space="preserve"> SUMIFS( 'INPUTS│Wholesale Totex'!E$129:E$163, 'INPUTS│Wholesale Totex'!$C$129:$C$163, $C126 )</f>
        <v>357.1</v>
      </c>
      <c r="F126" s="233">
        <f xml:space="preserve"> SUMIFS( 'INPUTS│Wholesale Totex'!F$129:F$163, 'INPUTS│Wholesale Totex'!$C$129:$C$163, $C126 )</f>
        <v>721.98099999999999</v>
      </c>
      <c r="G126" s="233">
        <f xml:space="preserve"> SUMIFS( 'INPUTS│Wholesale Totex'!G$129:G$163, 'INPUTS│Wholesale Totex'!$C$129:$C$163, $C126 )</f>
        <v>1070.057</v>
      </c>
      <c r="H126" s="233">
        <f xml:space="preserve"> SUMIFS( 'INPUTS│Wholesale Totex'!H$129:H$163, 'INPUTS│Wholesale Totex'!$C$129:$C$163, $C126 )</f>
        <v>1383.1</v>
      </c>
      <c r="I126" s="233">
        <f xml:space="preserve"> SUMIFS( 'INPUTS│Wholesale Totex'!I$129:I$163, 'INPUTS│Wholesale Totex'!$C$129:$C$163, $C126 )</f>
        <v>1686.076</v>
      </c>
    </row>
    <row r="127" spans="2:10" x14ac:dyDescent="0.3">
      <c r="C127" s="8" t="s">
        <v>94</v>
      </c>
      <c r="D127" s="11" t="s">
        <v>127</v>
      </c>
      <c r="E127" s="233">
        <f xml:space="preserve"> SUMIFS( 'INPUTS│Wholesale Totex'!E$129:E$163, 'INPUTS│Wholesale Totex'!$C$129:$C$163, $C127 )</f>
        <v>520.32700000000011</v>
      </c>
      <c r="F127" s="233">
        <f xml:space="preserve"> SUMIFS( 'INPUTS│Wholesale Totex'!F$129:F$163, 'INPUTS│Wholesale Totex'!$C$129:$C$163, $C127 )</f>
        <v>1088.8270000000002</v>
      </c>
      <c r="G127" s="233">
        <f xml:space="preserve"> SUMIFS( 'INPUTS│Wholesale Totex'!G$129:G$163, 'INPUTS│Wholesale Totex'!$C$129:$C$163, $C127 )</f>
        <v>1647.277</v>
      </c>
      <c r="H127" s="233">
        <f xml:space="preserve"> SUMIFS( 'INPUTS│Wholesale Totex'!H$129:H$163, 'INPUTS│Wholesale Totex'!$C$129:$C$163, $C127 )</f>
        <v>2165.48</v>
      </c>
      <c r="I127" s="233">
        <f xml:space="preserve"> SUMIFS( 'INPUTS│Wholesale Totex'!I$129:I$163, 'INPUTS│Wholesale Totex'!$C$129:$C$163, $C127 )</f>
        <v>2626.384</v>
      </c>
    </row>
    <row r="128" spans="2:10" x14ac:dyDescent="0.3">
      <c r="C128" s="8" t="s">
        <v>96</v>
      </c>
      <c r="D128" s="11" t="s">
        <v>127</v>
      </c>
      <c r="E128" s="233">
        <f xml:space="preserve"> SUMIFS( 'INPUTS│Wholesale Totex'!E$129:E$163, 'INPUTS│Wholesale Totex'!$C$129:$C$163, $C128 )</f>
        <v>1632.9459999999999</v>
      </c>
      <c r="F128" s="233">
        <f xml:space="preserve"> SUMIFS( 'INPUTS│Wholesale Totex'!F$129:F$163, 'INPUTS│Wholesale Totex'!$C$129:$C$163, $C128 )</f>
        <v>3152.2759999999998</v>
      </c>
      <c r="G128" s="233">
        <f xml:space="preserve"> SUMIFS( 'INPUTS│Wholesale Totex'!G$129:G$163, 'INPUTS│Wholesale Totex'!$C$129:$C$163, $C128 )</f>
        <v>4687.0650000000005</v>
      </c>
      <c r="H128" s="233">
        <f xml:space="preserve"> SUMIFS( 'INPUTS│Wholesale Totex'!H$129:H$163, 'INPUTS│Wholesale Totex'!$C$129:$C$163, $C128 )</f>
        <v>6118.54</v>
      </c>
      <c r="I128" s="233">
        <f xml:space="preserve"> SUMIFS( 'INPUTS│Wholesale Totex'!I$129:I$163, 'INPUTS│Wholesale Totex'!$C$129:$C$163, $C128 )</f>
        <v>7408.393</v>
      </c>
    </row>
    <row r="129" spans="2:10" x14ac:dyDescent="0.3">
      <c r="C129" s="8" t="s">
        <v>98</v>
      </c>
      <c r="D129" s="11" t="s">
        <v>127</v>
      </c>
      <c r="E129" s="233">
        <f xml:space="preserve"> SUMIFS( 'INPUTS│Wholesale Totex'!E$129:E$163, 'INPUTS│Wholesale Totex'!$C$129:$C$163, $C129 )</f>
        <v>1001.9000000000003</v>
      </c>
      <c r="F129" s="233">
        <f xml:space="preserve"> SUMIFS( 'INPUTS│Wholesale Totex'!F$129:F$163, 'INPUTS│Wholesale Totex'!$C$129:$C$163, $C129 )</f>
        <v>2045.5000000000005</v>
      </c>
      <c r="G129" s="233">
        <f xml:space="preserve"> SUMIFS( 'INPUTS│Wholesale Totex'!G$129:G$163, 'INPUTS│Wholesale Totex'!$C$129:$C$163, $C129 )</f>
        <v>3143.4</v>
      </c>
      <c r="H129" s="233">
        <f xml:space="preserve"> SUMIFS( 'INPUTS│Wholesale Totex'!H$129:H$163, 'INPUTS│Wholesale Totex'!$C$129:$C$163, $C129 )</f>
        <v>4279.7999999999993</v>
      </c>
      <c r="I129" s="233">
        <f xml:space="preserve"> SUMIFS( 'INPUTS│Wholesale Totex'!I$129:I$163, 'INPUTS│Wholesale Totex'!$C$129:$C$163, $C129 )</f>
        <v>5287.6</v>
      </c>
    </row>
    <row r="130" spans="2:10" x14ac:dyDescent="0.3">
      <c r="C130" s="8" t="s">
        <v>100</v>
      </c>
      <c r="D130" s="11" t="s">
        <v>127</v>
      </c>
      <c r="E130" s="233">
        <f xml:space="preserve"> SUMIFS( 'INPUTS│Wholesale Totex'!E$129:E$163, 'INPUTS│Wholesale Totex'!$C$129:$C$163, $C130 )</f>
        <v>336.708895594659</v>
      </c>
      <c r="F130" s="233">
        <f xml:space="preserve"> SUMIFS( 'INPUTS│Wholesale Totex'!F$129:F$163, 'INPUTS│Wholesale Totex'!$C$129:$C$163, $C130 )</f>
        <v>692.60889559465909</v>
      </c>
      <c r="G130" s="233">
        <f xml:space="preserve"> SUMIFS( 'INPUTS│Wholesale Totex'!G$129:G$163, 'INPUTS│Wholesale Totex'!$C$129:$C$163, $C130 )</f>
        <v>1068.6701992123201</v>
      </c>
      <c r="H130" s="233">
        <f xml:space="preserve"> SUMIFS( 'INPUTS│Wholesale Totex'!H$129:H$163, 'INPUTS│Wholesale Totex'!$C$129:$C$163, $C130 )</f>
        <v>1425.6</v>
      </c>
      <c r="I130" s="233">
        <f xml:space="preserve"> SUMIFS( 'INPUTS│Wholesale Totex'!I$129:I$163, 'INPUTS│Wholesale Totex'!$C$129:$C$163, $C130 )</f>
        <v>1768.6999999999998</v>
      </c>
    </row>
    <row r="131" spans="2:10" x14ac:dyDescent="0.3">
      <c r="C131" s="8" t="s">
        <v>102</v>
      </c>
      <c r="D131" s="11" t="s">
        <v>127</v>
      </c>
      <c r="E131" s="233">
        <f xml:space="preserve"> SUMIFS( 'INPUTS│Wholesale Totex'!E$129:E$163, 'INPUTS│Wholesale Totex'!$C$129:$C$163, $C131 )</f>
        <v>720.58</v>
      </c>
      <c r="F131" s="233">
        <f xml:space="preserve"> SUMIFS( 'INPUTS│Wholesale Totex'!F$129:F$163, 'INPUTS│Wholesale Totex'!$C$129:$C$163, $C131 )</f>
        <v>1419.5</v>
      </c>
      <c r="G131" s="233">
        <f xml:space="preserve"> SUMIFS( 'INPUTS│Wholesale Totex'!G$129:G$163, 'INPUTS│Wholesale Totex'!$C$129:$C$163, $C131 )</f>
        <v>2084.5</v>
      </c>
      <c r="H131" s="233">
        <f xml:space="preserve"> SUMIFS( 'INPUTS│Wholesale Totex'!H$129:H$163, 'INPUTS│Wholesale Totex'!$C$129:$C$163, $C131 )</f>
        <v>2750.038</v>
      </c>
      <c r="I131" s="233">
        <f xml:space="preserve"> SUMIFS( 'INPUTS│Wholesale Totex'!I$129:I$163, 'INPUTS│Wholesale Totex'!$C$129:$C$163, $C131 )</f>
        <v>3421.9070000000002</v>
      </c>
    </row>
    <row r="132" spans="2:10" x14ac:dyDescent="0.3">
      <c r="C132" s="8" t="s">
        <v>104</v>
      </c>
      <c r="D132" s="11" t="s">
        <v>127</v>
      </c>
      <c r="E132" s="233">
        <f xml:space="preserve"> SUMIFS( 'INPUTS│Wholesale Totex'!E$129:E$163, 'INPUTS│Wholesale Totex'!$C$129:$C$163, $C132 )</f>
        <v>241.79999999999995</v>
      </c>
      <c r="F132" s="233">
        <f xml:space="preserve"> SUMIFS( 'INPUTS│Wholesale Totex'!F$129:F$163, 'INPUTS│Wholesale Totex'!$C$129:$C$163, $C132 )</f>
        <v>486.09999999999997</v>
      </c>
      <c r="G132" s="233">
        <f xml:space="preserve"> SUMIFS( 'INPUTS│Wholesale Totex'!G$129:G$163, 'INPUTS│Wholesale Totex'!$C$129:$C$163, $C132 )</f>
        <v>698.4</v>
      </c>
      <c r="H132" s="233">
        <f xml:space="preserve"> SUMIFS( 'INPUTS│Wholesale Totex'!H$129:H$163, 'INPUTS│Wholesale Totex'!$C$129:$C$163, $C132 )</f>
        <v>888.07500000000005</v>
      </c>
      <c r="I132" s="233">
        <f xml:space="preserve"> SUMIFS( 'INPUTS│Wholesale Totex'!I$129:I$163, 'INPUTS│Wholesale Totex'!$C$129:$C$163, $C132 )</f>
        <v>1063.059</v>
      </c>
    </row>
    <row r="133" spans="2:10" x14ac:dyDescent="0.3">
      <c r="C133" s="8" t="s">
        <v>106</v>
      </c>
      <c r="D133" s="11" t="s">
        <v>127</v>
      </c>
      <c r="E133" s="233">
        <f xml:space="preserve"> SUMIFS( 'INPUTS│Wholesale Totex'!E$129:E$163, 'INPUTS│Wholesale Totex'!$C$129:$C$163, $C133 )</f>
        <v>86.8069926054078</v>
      </c>
      <c r="F133" s="233">
        <f xml:space="preserve"> SUMIFS( 'INPUTS│Wholesale Totex'!F$129:F$163, 'INPUTS│Wholesale Totex'!$C$129:$C$163, $C133 )</f>
        <v>170.80872731242079</v>
      </c>
      <c r="G133" s="233">
        <f xml:space="preserve"> SUMIFS( 'INPUTS│Wholesale Totex'!G$129:G$163, 'INPUTS│Wholesale Totex'!$C$129:$C$163, $C133 )</f>
        <v>254.47915028966509</v>
      </c>
      <c r="H133" s="233">
        <f xml:space="preserve"> SUMIFS( 'INPUTS│Wholesale Totex'!H$129:H$163, 'INPUTS│Wholesale Totex'!$C$129:$C$163, $C133 )</f>
        <v>337.54162383770978</v>
      </c>
      <c r="I133" s="233">
        <f xml:space="preserve"> SUMIFS( 'INPUTS│Wholesale Totex'!I$129:I$163, 'INPUTS│Wholesale Totex'!$C$129:$C$163, $C133 )</f>
        <v>421.87409592317238</v>
      </c>
    </row>
    <row r="134" spans="2:10" x14ac:dyDescent="0.3">
      <c r="C134" s="8" t="s">
        <v>108</v>
      </c>
      <c r="D134" s="11" t="s">
        <v>127</v>
      </c>
      <c r="E134" s="233">
        <f xml:space="preserve"> SUMIFS( 'INPUTS│Wholesale Totex'!E$129:E$163, 'INPUTS│Wholesale Totex'!$C$129:$C$163, $C134 )</f>
        <v>26.426999999999992</v>
      </c>
      <c r="F134" s="233">
        <f xml:space="preserve"> SUMIFS( 'INPUTS│Wholesale Totex'!F$129:F$163, 'INPUTS│Wholesale Totex'!$C$129:$C$163, $C134 )</f>
        <v>55.11999999999999</v>
      </c>
      <c r="G134" s="233">
        <f xml:space="preserve"> SUMIFS( 'INPUTS│Wholesale Totex'!G$129:G$163, 'INPUTS│Wholesale Totex'!$C$129:$C$163, $C134 )</f>
        <v>84.227999999999994</v>
      </c>
      <c r="H134" s="233">
        <f xml:space="preserve"> SUMIFS( 'INPUTS│Wholesale Totex'!H$129:H$163, 'INPUTS│Wholesale Totex'!$C$129:$C$163, $C134 )</f>
        <v>111.607</v>
      </c>
      <c r="I134" s="233">
        <f xml:space="preserve"> SUMIFS( 'INPUTS│Wholesale Totex'!I$129:I$163, 'INPUTS│Wholesale Totex'!$C$129:$C$163, $C134 )</f>
        <v>137.697</v>
      </c>
    </row>
    <row r="135" spans="2:10" x14ac:dyDescent="0.3">
      <c r="C135" s="8" t="s">
        <v>112</v>
      </c>
      <c r="D135" s="11" t="s">
        <v>127</v>
      </c>
      <c r="E135" s="233">
        <f xml:space="preserve"> SUMIFS( 'INPUTS│Wholesale Totex'!E$129:E$163, 'INPUTS│Wholesale Totex'!$C$129:$C$163, $C135 )</f>
        <v>147.90000000000003</v>
      </c>
      <c r="F135" s="233">
        <f xml:space="preserve"> SUMIFS( 'INPUTS│Wholesale Totex'!F$129:F$163, 'INPUTS│Wholesale Totex'!$C$129:$C$163, $C135 )</f>
        <v>303.80000000000007</v>
      </c>
      <c r="G135" s="233">
        <f xml:space="preserve"> SUMIFS( 'INPUTS│Wholesale Totex'!G$129:G$163, 'INPUTS│Wholesale Totex'!$C$129:$C$163, $C135 )</f>
        <v>469.3</v>
      </c>
      <c r="H135" s="233">
        <f xml:space="preserve"> SUMIFS( 'INPUTS│Wholesale Totex'!H$129:H$163, 'INPUTS│Wholesale Totex'!$C$129:$C$163, $C135 )</f>
        <v>628.29999999999995</v>
      </c>
      <c r="I135" s="233">
        <f xml:space="preserve"> SUMIFS( 'INPUTS│Wholesale Totex'!I$129:I$163, 'INPUTS│Wholesale Totex'!$C$129:$C$163, $C135 )</f>
        <v>776.7</v>
      </c>
    </row>
    <row r="136" spans="2:10" x14ac:dyDescent="0.3">
      <c r="C136" s="8" t="s">
        <v>114</v>
      </c>
      <c r="D136" s="11" t="s">
        <v>127</v>
      </c>
      <c r="E136" s="233">
        <f xml:space="preserve"> SUMIFS( 'INPUTS│Wholesale Totex'!E$129:E$163, 'INPUTS│Wholesale Totex'!$C$129:$C$163, $C136 )</f>
        <v>76.771426398023607</v>
      </c>
      <c r="F136" s="233">
        <f xml:space="preserve"> SUMIFS( 'INPUTS│Wholesale Totex'!F$129:F$163, 'INPUTS│Wholesale Totex'!$C$129:$C$163, $C136 )</f>
        <v>154.29389808252191</v>
      </c>
      <c r="G136" s="233">
        <f xml:space="preserve"> SUMIFS( 'INPUTS│Wholesale Totex'!G$129:G$163, 'INPUTS│Wholesale Totex'!$C$129:$C$163, $C136 )</f>
        <v>232.09830006204601</v>
      </c>
      <c r="H136" s="233">
        <f xml:space="preserve"> SUMIFS( 'INPUTS│Wholesale Totex'!H$129:H$163, 'INPUTS│Wholesale Totex'!$C$129:$C$163, $C136 )</f>
        <v>310.04500000000002</v>
      </c>
      <c r="I136" s="233">
        <f xml:space="preserve"> SUMIFS( 'INPUTS│Wholesale Totex'!I$129:I$163, 'INPUTS│Wholesale Totex'!$C$129:$C$163, $C136 )</f>
        <v>386.97800000000001</v>
      </c>
    </row>
    <row r="137" spans="2:10" x14ac:dyDescent="0.3">
      <c r="C137" s="8" t="s">
        <v>110</v>
      </c>
      <c r="D137" s="11" t="s">
        <v>127</v>
      </c>
      <c r="E137" s="233">
        <f xml:space="preserve"> SUMIFS( 'INPUTS│Wholesale Totex'!E$129:E$163, 'INPUTS│Wholesale Totex'!$C$129:$C$163, $C137 )</f>
        <v>40.859921351818002</v>
      </c>
      <c r="F137" s="233">
        <f xml:space="preserve"> SUMIFS( 'INPUTS│Wholesale Totex'!F$129:F$163, 'INPUTS│Wholesale Totex'!$C$129:$C$163, $C137 )</f>
        <v>85.928922947647408</v>
      </c>
      <c r="G137" s="233">
        <f xml:space="preserve"> SUMIFS( 'INPUTS│Wholesale Totex'!G$129:G$163, 'INPUTS│Wholesale Totex'!$C$129:$C$163, $C137 )</f>
        <v>133.30608974882762</v>
      </c>
      <c r="H137" s="233">
        <f xml:space="preserve"> SUMIFS( 'INPUTS│Wholesale Totex'!H$129:H$163, 'INPUTS│Wholesale Totex'!$C$129:$C$163, $C137 )</f>
        <v>177.06297420237291</v>
      </c>
      <c r="I137" s="233">
        <f xml:space="preserve"> SUMIFS( 'INPUTS│Wholesale Totex'!I$129:I$163, 'INPUTS│Wholesale Totex'!$C$129:$C$163, $C137 )</f>
        <v>220.5208450816898</v>
      </c>
    </row>
    <row r="139" spans="2:10" x14ac:dyDescent="0.3">
      <c r="C139" s="12" t="s">
        <v>424</v>
      </c>
      <c r="D139" s="13" t="s">
        <v>127</v>
      </c>
      <c r="E139" s="14">
        <f>SUM(E121:E137)</f>
        <v>7962.4971988158914</v>
      </c>
      <c r="F139" s="14">
        <f>SUM(F121:F137)</f>
        <v>16245.296406803234</v>
      </c>
      <c r="G139" s="14">
        <f>SUM(G121:G137)</f>
        <v>24474.854434158864</v>
      </c>
      <c r="H139" s="14">
        <f>SUM(H121:H137)</f>
        <v>32419.119777431053</v>
      </c>
      <c r="I139" s="14">
        <f>SUM(I121:I137)</f>
        <v>39833.106959379802</v>
      </c>
    </row>
    <row r="141" spans="2:10" ht="13.5" x14ac:dyDescent="0.35">
      <c r="B141" s="32" t="s">
        <v>554</v>
      </c>
      <c r="C141" s="32"/>
      <c r="D141" s="33"/>
      <c r="E141" s="32"/>
      <c r="F141" s="32"/>
      <c r="G141" s="32"/>
      <c r="H141" s="32"/>
      <c r="I141" s="32"/>
      <c r="J141" s="32"/>
    </row>
    <row r="143" spans="2:10" x14ac:dyDescent="0.3">
      <c r="C143" s="8" t="s">
        <v>80</v>
      </c>
      <c r="D143" s="11" t="s">
        <v>127</v>
      </c>
      <c r="E143" s="14">
        <f t="shared" ref="E143:I152" si="4" xml:space="preserve"> E99 - E121</f>
        <v>-60.717333836695389</v>
      </c>
      <c r="F143" s="14">
        <f t="shared" si="4"/>
        <v>-262.69066385471069</v>
      </c>
      <c r="G143" s="14">
        <f t="shared" si="4"/>
        <v>-291.33006353425935</v>
      </c>
      <c r="H143" s="14">
        <f t="shared" si="4"/>
        <v>-324.06973190903</v>
      </c>
      <c r="I143" s="14">
        <f t="shared" si="4"/>
        <v>-339.11299999999937</v>
      </c>
    </row>
    <row r="144" spans="2:10" x14ac:dyDescent="0.3">
      <c r="C144" s="8" t="s">
        <v>82</v>
      </c>
      <c r="D144" s="11" t="s">
        <v>127</v>
      </c>
      <c r="E144" s="14">
        <f t="shared" si="4"/>
        <v>-96.226000000000113</v>
      </c>
      <c r="F144" s="14">
        <f t="shared" si="4"/>
        <v>-77.394000000000233</v>
      </c>
      <c r="G144" s="14">
        <f t="shared" si="4"/>
        <v>-14.547000000000025</v>
      </c>
      <c r="H144" s="14">
        <f t="shared" si="4"/>
        <v>88.261999999999716</v>
      </c>
      <c r="I144" s="14">
        <f t="shared" si="4"/>
        <v>156.47699999999986</v>
      </c>
    </row>
    <row r="145" spans="3:9" x14ac:dyDescent="0.3">
      <c r="C145" s="8" t="s">
        <v>85</v>
      </c>
      <c r="D145" s="11" t="s">
        <v>127</v>
      </c>
      <c r="E145" s="14">
        <f t="shared" si="4"/>
        <v>-4.9649999999999892</v>
      </c>
      <c r="F145" s="14">
        <f t="shared" si="4"/>
        <v>-10.334999999999987</v>
      </c>
      <c r="G145" s="14">
        <f t="shared" si="4"/>
        <v>-7.154999999999994</v>
      </c>
      <c r="H145" s="14">
        <f t="shared" si="4"/>
        <v>-2.6820000000000022</v>
      </c>
      <c r="I145" s="14">
        <f t="shared" si="4"/>
        <v>2.0769999999999982</v>
      </c>
    </row>
    <row r="146" spans="3:9" x14ac:dyDescent="0.3">
      <c r="C146" s="8" t="s">
        <v>87</v>
      </c>
      <c r="D146" s="11" t="s">
        <v>127</v>
      </c>
      <c r="E146" s="14">
        <f t="shared" si="4"/>
        <v>-52.058999999999912</v>
      </c>
      <c r="F146" s="14">
        <f t="shared" si="4"/>
        <v>-134.47699999999986</v>
      </c>
      <c r="G146" s="14">
        <f t="shared" si="4"/>
        <v>-184.66200000000003</v>
      </c>
      <c r="H146" s="14">
        <f t="shared" si="4"/>
        <v>-170.74499999999989</v>
      </c>
      <c r="I146" s="14">
        <f t="shared" si="4"/>
        <v>-146.10401837494101</v>
      </c>
    </row>
    <row r="147" spans="3:9" x14ac:dyDescent="0.3">
      <c r="C147" s="8" t="s">
        <v>89</v>
      </c>
      <c r="D147" s="11" t="s">
        <v>127</v>
      </c>
      <c r="E147" s="14">
        <f t="shared" si="4"/>
        <v>-18.626000000000204</v>
      </c>
      <c r="F147" s="14">
        <f t="shared" si="4"/>
        <v>-154.46300000000019</v>
      </c>
      <c r="G147" s="14">
        <f t="shared" si="4"/>
        <v>-254.57999999999993</v>
      </c>
      <c r="H147" s="14">
        <f t="shared" si="4"/>
        <v>-213.98099999999977</v>
      </c>
      <c r="I147" s="14">
        <f t="shared" si="4"/>
        <v>-29.46900000000096</v>
      </c>
    </row>
    <row r="148" spans="3:9" x14ac:dyDescent="0.3">
      <c r="C148" s="8" t="s">
        <v>91</v>
      </c>
      <c r="D148" s="11" t="s">
        <v>127</v>
      </c>
      <c r="E148" s="14">
        <f t="shared" si="4"/>
        <v>-83</v>
      </c>
      <c r="F148" s="14">
        <f t="shared" si="4"/>
        <v>-130.38100000000009</v>
      </c>
      <c r="G148" s="14">
        <f t="shared" si="4"/>
        <v>-180.63800000000003</v>
      </c>
      <c r="H148" s="14">
        <f t="shared" si="4"/>
        <v>-222.79999999999995</v>
      </c>
      <c r="I148" s="14">
        <f t="shared" si="4"/>
        <v>-261.67599999999993</v>
      </c>
    </row>
    <row r="149" spans="3:9" x14ac:dyDescent="0.3">
      <c r="C149" s="8" t="s">
        <v>94</v>
      </c>
      <c r="D149" s="11" t="s">
        <v>127</v>
      </c>
      <c r="E149" s="14">
        <f t="shared" si="4"/>
        <v>-106.84800000000013</v>
      </c>
      <c r="F149" s="14">
        <f t="shared" si="4"/>
        <v>-205.17700000000013</v>
      </c>
      <c r="G149" s="14">
        <f t="shared" si="4"/>
        <v>-213.64800000000014</v>
      </c>
      <c r="H149" s="14">
        <f t="shared" si="4"/>
        <v>-166.44500000000016</v>
      </c>
      <c r="I149" s="14">
        <f t="shared" si="4"/>
        <v>-12.932999999999993</v>
      </c>
    </row>
    <row r="150" spans="3:9" x14ac:dyDescent="0.3">
      <c r="C150" s="8" t="s">
        <v>96</v>
      </c>
      <c r="D150" s="11" t="s">
        <v>127</v>
      </c>
      <c r="E150" s="14">
        <f t="shared" si="4"/>
        <v>61.275016093367185</v>
      </c>
      <c r="F150" s="14">
        <f t="shared" si="4"/>
        <v>134.62860090319782</v>
      </c>
      <c r="G150" s="14">
        <f t="shared" si="4"/>
        <v>196.46438145038701</v>
      </c>
      <c r="H150" s="14">
        <f t="shared" si="4"/>
        <v>388.45100000000002</v>
      </c>
      <c r="I150" s="14">
        <f t="shared" si="4"/>
        <v>656.3779999999997</v>
      </c>
    </row>
    <row r="151" spans="3:9" x14ac:dyDescent="0.3">
      <c r="C151" s="8" t="s">
        <v>98</v>
      </c>
      <c r="D151" s="11" t="s">
        <v>127</v>
      </c>
      <c r="E151" s="14">
        <f t="shared" si="4"/>
        <v>151.57298683830277</v>
      </c>
      <c r="F151" s="14">
        <f t="shared" si="4"/>
        <v>268.96516724164985</v>
      </c>
      <c r="G151" s="14">
        <f t="shared" si="4"/>
        <v>308.76527196124016</v>
      </c>
      <c r="H151" s="14">
        <f t="shared" si="4"/>
        <v>313.57258862665094</v>
      </c>
      <c r="I151" s="14">
        <f t="shared" si="4"/>
        <v>352.62846856648957</v>
      </c>
    </row>
    <row r="152" spans="3:9" x14ac:dyDescent="0.3">
      <c r="C152" s="8" t="s">
        <v>100</v>
      </c>
      <c r="D152" s="11" t="s">
        <v>127</v>
      </c>
      <c r="E152" s="14">
        <f t="shared" si="4"/>
        <v>-32.267443022505915</v>
      </c>
      <c r="F152" s="14">
        <f t="shared" si="4"/>
        <v>-81.658895594659043</v>
      </c>
      <c r="G152" s="14">
        <f t="shared" si="4"/>
        <v>-119.29119921232007</v>
      </c>
      <c r="H152" s="14">
        <f t="shared" si="4"/>
        <v>-142.30437676254792</v>
      </c>
      <c r="I152" s="14">
        <f t="shared" si="4"/>
        <v>-146.25324330691478</v>
      </c>
    </row>
    <row r="153" spans="3:9" x14ac:dyDescent="0.3">
      <c r="C153" s="8" t="s">
        <v>102</v>
      </c>
      <c r="D153" s="11" t="s">
        <v>127</v>
      </c>
      <c r="E153" s="14">
        <f t="shared" ref="E153:I159" si="5" xml:space="preserve"> E109 - E131</f>
        <v>-158.28700000000003</v>
      </c>
      <c r="F153" s="14">
        <f t="shared" si="5"/>
        <v>-181.72800000000007</v>
      </c>
      <c r="G153" s="14">
        <f t="shared" si="5"/>
        <v>-155.04199999999992</v>
      </c>
      <c r="H153" s="14">
        <f t="shared" si="5"/>
        <v>-0.70499999999992724</v>
      </c>
      <c r="I153" s="14">
        <f t="shared" si="5"/>
        <v>106.82999999999993</v>
      </c>
    </row>
    <row r="154" spans="3:9" x14ac:dyDescent="0.3">
      <c r="C154" s="8" t="s">
        <v>104</v>
      </c>
      <c r="D154" s="11" t="s">
        <v>127</v>
      </c>
      <c r="E154" s="14">
        <f t="shared" si="5"/>
        <v>-25.488999999999919</v>
      </c>
      <c r="F154" s="14">
        <f t="shared" si="5"/>
        <v>-29.974999999999966</v>
      </c>
      <c r="G154" s="14">
        <f t="shared" si="5"/>
        <v>-18.544999999999959</v>
      </c>
      <c r="H154" s="14">
        <f t="shared" si="5"/>
        <v>-2.3439093902280774</v>
      </c>
      <c r="I154" s="14">
        <f t="shared" si="5"/>
        <v>23.505578887449929</v>
      </c>
    </row>
    <row r="155" spans="3:9" x14ac:dyDescent="0.3">
      <c r="C155" s="8" t="s">
        <v>106</v>
      </c>
      <c r="D155" s="11" t="s">
        <v>127</v>
      </c>
      <c r="E155" s="14">
        <f t="shared" si="5"/>
        <v>-22.835324739546309</v>
      </c>
      <c r="F155" s="14">
        <f t="shared" si="5"/>
        <v>-31.518186117209353</v>
      </c>
      <c r="G155" s="14">
        <f t="shared" si="5"/>
        <v>-24.110678511532086</v>
      </c>
      <c r="H155" s="14">
        <f t="shared" si="5"/>
        <v>-14.296977661835797</v>
      </c>
      <c r="I155" s="14">
        <f t="shared" si="5"/>
        <v>4.5949599496365181</v>
      </c>
    </row>
    <row r="156" spans="3:9" x14ac:dyDescent="0.3">
      <c r="C156" s="8" t="s">
        <v>108</v>
      </c>
      <c r="D156" s="11" t="s">
        <v>127</v>
      </c>
      <c r="E156" s="14">
        <f t="shared" si="5"/>
        <v>-1.7939999999999969</v>
      </c>
      <c r="F156" s="14">
        <f t="shared" si="5"/>
        <v>-1.6849999999999952</v>
      </c>
      <c r="G156" s="14">
        <f t="shared" si="5"/>
        <v>-8.0649999999999977</v>
      </c>
      <c r="H156" s="14">
        <f t="shared" si="5"/>
        <v>-4.2900000000000063</v>
      </c>
      <c r="I156" s="14">
        <f t="shared" si="5"/>
        <v>-0.1769999999999925</v>
      </c>
    </row>
    <row r="157" spans="3:9" x14ac:dyDescent="0.3">
      <c r="C157" s="8" t="s">
        <v>112</v>
      </c>
      <c r="D157" s="11" t="s">
        <v>127</v>
      </c>
      <c r="E157" s="14">
        <f t="shared" si="5"/>
        <v>-4.6100000000000136</v>
      </c>
      <c r="F157" s="14">
        <f t="shared" si="5"/>
        <v>-17.537000000000035</v>
      </c>
      <c r="G157" s="14">
        <f t="shared" si="5"/>
        <v>-34.675999999999988</v>
      </c>
      <c r="H157" s="14">
        <f t="shared" si="5"/>
        <v>-39.281999999999925</v>
      </c>
      <c r="I157" s="14">
        <f t="shared" si="5"/>
        <v>-34.497000000000071</v>
      </c>
    </row>
    <row r="158" spans="3:9" x14ac:dyDescent="0.3">
      <c r="C158" s="8" t="s">
        <v>114</v>
      </c>
      <c r="D158" s="11" t="s">
        <v>127</v>
      </c>
      <c r="E158" s="14">
        <f t="shared" si="5"/>
        <v>-4.1976940767889062</v>
      </c>
      <c r="F158" s="14">
        <f t="shared" si="5"/>
        <v>-5.6964523745014901</v>
      </c>
      <c r="G158" s="14">
        <f t="shared" si="5"/>
        <v>-1.5694508758990082</v>
      </c>
      <c r="H158" s="14">
        <f t="shared" si="5"/>
        <v>1.31899999999996</v>
      </c>
      <c r="I158" s="14">
        <f t="shared" si="5"/>
        <v>3.0999999999999659</v>
      </c>
    </row>
    <row r="159" spans="3:9" x14ac:dyDescent="0.3">
      <c r="C159" s="8" t="s">
        <v>110</v>
      </c>
      <c r="D159" s="11" t="s">
        <v>127</v>
      </c>
      <c r="E159" s="14">
        <f t="shared" si="5"/>
        <v>-2.0549213518180096</v>
      </c>
      <c r="F159" s="14">
        <f t="shared" si="5"/>
        <v>-4.2879229476474165</v>
      </c>
      <c r="G159" s="14">
        <f t="shared" si="5"/>
        <v>-7.5060897488276197</v>
      </c>
      <c r="H159" s="14">
        <f t="shared" si="5"/>
        <v>-5.7819742023729077</v>
      </c>
      <c r="I159" s="14">
        <f t="shared" si="5"/>
        <v>-1.2448450816897889</v>
      </c>
    </row>
    <row r="161" spans="2:10" x14ac:dyDescent="0.3">
      <c r="C161" s="12" t="s">
        <v>424</v>
      </c>
      <c r="D161" s="13" t="s">
        <v>127</v>
      </c>
      <c r="E161" s="14">
        <f xml:space="preserve"> E117 - E139</f>
        <v>-461.12871409568561</v>
      </c>
      <c r="F161" s="14">
        <f xml:space="preserve"> F117 - F139</f>
        <v>-925.41035274388196</v>
      </c>
      <c r="G161" s="14">
        <f xml:space="preserve"> G117 - G139</f>
        <v>-1010.1358284712151</v>
      </c>
      <c r="H161" s="14">
        <f xml:space="preserve"> H117 - H139</f>
        <v>-518.12238129936668</v>
      </c>
      <c r="I161" s="14">
        <f xml:space="preserve"> I117 - I139</f>
        <v>334.1239006400283</v>
      </c>
    </row>
    <row r="163" spans="2:10" ht="13.5" x14ac:dyDescent="0.35">
      <c r="B163" s="32" t="s">
        <v>555</v>
      </c>
      <c r="C163" s="32"/>
      <c r="D163" s="33"/>
      <c r="E163" s="32"/>
      <c r="F163" s="32"/>
      <c r="G163" s="32"/>
      <c r="H163" s="32"/>
      <c r="I163" s="32"/>
      <c r="J163" s="32"/>
    </row>
    <row r="165" spans="2:10" x14ac:dyDescent="0.3">
      <c r="C165" s="83" t="s">
        <v>80</v>
      </c>
      <c r="D165" s="113" t="s">
        <v>133</v>
      </c>
      <c r="E165" s="232">
        <f t="shared" ref="E165:I174" si="6" xml:space="preserve"> IFERROR( E143 / E121, 0 )</f>
        <v>-7.7840044930763852E-2</v>
      </c>
      <c r="F165" s="232">
        <f t="shared" si="6"/>
        <v>-0.15177378229463354</v>
      </c>
      <c r="G165" s="232">
        <f t="shared" si="6"/>
        <v>-0.11373577697800423</v>
      </c>
      <c r="H165" s="232">
        <f t="shared" si="6"/>
        <v>-9.6219081319757385E-2</v>
      </c>
      <c r="I165" s="232">
        <f t="shared" si="6"/>
        <v>-8.1512002909417319E-2</v>
      </c>
    </row>
    <row r="166" spans="2:10" x14ac:dyDescent="0.3">
      <c r="C166" s="83" t="s">
        <v>82</v>
      </c>
      <c r="D166" s="113" t="s">
        <v>133</v>
      </c>
      <c r="E166" s="232">
        <f t="shared" si="6"/>
        <v>-0.18255046289270013</v>
      </c>
      <c r="F166" s="232">
        <f t="shared" si="6"/>
        <v>-7.3854803940373567E-2</v>
      </c>
      <c r="G166" s="232">
        <f t="shared" si="6"/>
        <v>-9.323780736365259E-3</v>
      </c>
      <c r="H166" s="232">
        <f t="shared" si="6"/>
        <v>4.2841076603991959E-2</v>
      </c>
      <c r="I166" s="232">
        <f t="shared" si="6"/>
        <v>6.1323993472443591E-2</v>
      </c>
    </row>
    <row r="167" spans="2:10" x14ac:dyDescent="0.3">
      <c r="C167" s="83" t="s">
        <v>85</v>
      </c>
      <c r="D167" s="113" t="s">
        <v>133</v>
      </c>
      <c r="E167" s="232">
        <f t="shared" si="6"/>
        <v>-0.24360924390363528</v>
      </c>
      <c r="F167" s="232">
        <f t="shared" si="6"/>
        <v>-0.22900002215771839</v>
      </c>
      <c r="G167" s="232">
        <f t="shared" si="6"/>
        <v>-0.10769277081232401</v>
      </c>
      <c r="H167" s="232">
        <f t="shared" si="6"/>
        <v>-3.0323244428867028E-2</v>
      </c>
      <c r="I167" s="232">
        <f t="shared" si="6"/>
        <v>1.8414753080946877E-2</v>
      </c>
    </row>
    <row r="168" spans="2:10" x14ac:dyDescent="0.3">
      <c r="C168" s="83" t="s">
        <v>87</v>
      </c>
      <c r="D168" s="113" t="s">
        <v>133</v>
      </c>
      <c r="E168" s="232">
        <f t="shared" si="6"/>
        <v>-0.11263159716663115</v>
      </c>
      <c r="F168" s="232">
        <f t="shared" si="6"/>
        <v>-0.14294916836126709</v>
      </c>
      <c r="G168" s="232">
        <f t="shared" si="6"/>
        <v>-0.12874209749880786</v>
      </c>
      <c r="H168" s="232">
        <f t="shared" si="6"/>
        <v>-9.0438646902882142E-2</v>
      </c>
      <c r="I168" s="232">
        <f t="shared" si="6"/>
        <v>-6.3580044337989985E-2</v>
      </c>
    </row>
    <row r="169" spans="2:10" x14ac:dyDescent="0.3">
      <c r="C169" s="83" t="s">
        <v>89</v>
      </c>
      <c r="D169" s="113" t="s">
        <v>133</v>
      </c>
      <c r="E169" s="232">
        <f t="shared" si="6"/>
        <v>-1.8955136998848199E-2</v>
      </c>
      <c r="F169" s="232">
        <f t="shared" si="6"/>
        <v>-7.3415264431931637E-2</v>
      </c>
      <c r="G169" s="232">
        <f t="shared" si="6"/>
        <v>-7.7625059801299592E-2</v>
      </c>
      <c r="H169" s="232">
        <f t="shared" si="6"/>
        <v>-4.8201963435789572E-2</v>
      </c>
      <c r="I169" s="232">
        <f t="shared" si="6"/>
        <v>-5.3535740543229002E-3</v>
      </c>
    </row>
    <row r="170" spans="2:10" x14ac:dyDescent="0.3">
      <c r="C170" s="83" t="s">
        <v>91</v>
      </c>
      <c r="D170" s="113" t="s">
        <v>133</v>
      </c>
      <c r="E170" s="232">
        <f t="shared" si="6"/>
        <v>-0.23242789134696162</v>
      </c>
      <c r="F170" s="232">
        <f t="shared" si="6"/>
        <v>-0.18058785480504347</v>
      </c>
      <c r="G170" s="232">
        <f t="shared" si="6"/>
        <v>-0.16881156798189259</v>
      </c>
      <c r="H170" s="232">
        <f t="shared" si="6"/>
        <v>-0.16108741233461063</v>
      </c>
      <c r="I170" s="232">
        <f t="shared" si="6"/>
        <v>-0.15519822356762086</v>
      </c>
    </row>
    <row r="171" spans="2:10" x14ac:dyDescent="0.3">
      <c r="C171" s="83" t="s">
        <v>94</v>
      </c>
      <c r="D171" s="113" t="s">
        <v>133</v>
      </c>
      <c r="E171" s="232">
        <f t="shared" si="6"/>
        <v>-0.20534779090840971</v>
      </c>
      <c r="F171" s="232">
        <f t="shared" si="6"/>
        <v>-0.18843856737571726</v>
      </c>
      <c r="G171" s="232">
        <f t="shared" si="6"/>
        <v>-0.12969767683273678</v>
      </c>
      <c r="H171" s="232">
        <f t="shared" si="6"/>
        <v>-7.6862866431460994E-2</v>
      </c>
      <c r="I171" s="232">
        <f t="shared" si="6"/>
        <v>-4.9242608849277151E-3</v>
      </c>
    </row>
    <row r="172" spans="2:10" x14ac:dyDescent="0.3">
      <c r="C172" s="83" t="s">
        <v>96</v>
      </c>
      <c r="D172" s="113" t="s">
        <v>133</v>
      </c>
      <c r="E172" s="232">
        <f t="shared" si="6"/>
        <v>3.7524214574987287E-2</v>
      </c>
      <c r="F172" s="232">
        <f t="shared" si="6"/>
        <v>4.2708379882725314E-2</v>
      </c>
      <c r="G172" s="232">
        <f t="shared" si="6"/>
        <v>4.1916291207906652E-2</v>
      </c>
      <c r="H172" s="232">
        <f t="shared" si="6"/>
        <v>6.3487531339175687E-2</v>
      </c>
      <c r="I172" s="232">
        <f t="shared" si="6"/>
        <v>8.8599241427931769E-2</v>
      </c>
    </row>
    <row r="173" spans="2:10" x14ac:dyDescent="0.3">
      <c r="C173" s="83" t="s">
        <v>98</v>
      </c>
      <c r="D173" s="113" t="s">
        <v>133</v>
      </c>
      <c r="E173" s="232">
        <f t="shared" si="6"/>
        <v>0.15128554430412489</v>
      </c>
      <c r="F173" s="232">
        <f t="shared" si="6"/>
        <v>0.13149115973681241</v>
      </c>
      <c r="G173" s="232">
        <f t="shared" si="6"/>
        <v>9.8226529223528716E-2</v>
      </c>
      <c r="H173" s="232">
        <f t="shared" si="6"/>
        <v>7.3268047251425536E-2</v>
      </c>
      <c r="I173" s="232">
        <f t="shared" si="6"/>
        <v>6.668970205130674E-2</v>
      </c>
    </row>
    <row r="174" spans="2:10" x14ac:dyDescent="0.3">
      <c r="C174" s="83" t="s">
        <v>100</v>
      </c>
      <c r="D174" s="113" t="s">
        <v>133</v>
      </c>
      <c r="E174" s="232">
        <f t="shared" si="6"/>
        <v>-9.5831869738750533E-2</v>
      </c>
      <c r="F174" s="232">
        <f t="shared" si="6"/>
        <v>-0.11790044296868073</v>
      </c>
      <c r="G174" s="232">
        <f t="shared" si="6"/>
        <v>-0.1116258311500082</v>
      </c>
      <c r="H174" s="232">
        <f t="shared" si="6"/>
        <v>-9.9820690770586362E-2</v>
      </c>
      <c r="I174" s="232">
        <f t="shared" si="6"/>
        <v>-8.2689683556801494E-2</v>
      </c>
    </row>
    <row r="175" spans="2:10" x14ac:dyDescent="0.3">
      <c r="C175" s="83" t="s">
        <v>102</v>
      </c>
      <c r="D175" s="113" t="s">
        <v>133</v>
      </c>
      <c r="E175" s="232">
        <f t="shared" ref="E175:I181" si="7" xml:space="preserve"> IFERROR( E153 / E131, 0 )</f>
        <v>-0.21966610230647537</v>
      </c>
      <c r="F175" s="232">
        <f t="shared" si="7"/>
        <v>-0.12802254314899617</v>
      </c>
      <c r="G175" s="232">
        <f t="shared" si="7"/>
        <v>-7.4378508035500085E-2</v>
      </c>
      <c r="H175" s="232">
        <f t="shared" si="7"/>
        <v>-2.5636009393322103E-4</v>
      </c>
      <c r="I175" s="232">
        <f t="shared" si="7"/>
        <v>3.1219434075794555E-2</v>
      </c>
    </row>
    <row r="176" spans="2:10" x14ac:dyDescent="0.3">
      <c r="C176" s="83" t="s">
        <v>104</v>
      </c>
      <c r="D176" s="113" t="s">
        <v>133</v>
      </c>
      <c r="E176" s="232">
        <f t="shared" si="7"/>
        <v>-0.10541356492969364</v>
      </c>
      <c r="F176" s="232">
        <f t="shared" si="7"/>
        <v>-6.1664266611808204E-2</v>
      </c>
      <c r="G176" s="232">
        <f t="shared" si="7"/>
        <v>-2.655355097365401E-2</v>
      </c>
      <c r="H176" s="232">
        <f t="shared" si="7"/>
        <v>-2.6393146865164286E-3</v>
      </c>
      <c r="I176" s="232">
        <f t="shared" si="7"/>
        <v>2.2111264649892368E-2</v>
      </c>
    </row>
    <row r="177" spans="2:10" x14ac:dyDescent="0.3">
      <c r="C177" s="83" t="s">
        <v>106</v>
      </c>
      <c r="D177" s="113" t="s">
        <v>133</v>
      </c>
      <c r="E177" s="232">
        <f t="shared" si="7"/>
        <v>-0.26305858611353089</v>
      </c>
      <c r="F177" s="232">
        <f t="shared" si="7"/>
        <v>-0.18452327707799407</v>
      </c>
      <c r="G177" s="232">
        <f t="shared" si="7"/>
        <v>-9.4745202049314095E-2</v>
      </c>
      <c r="H177" s="232">
        <f t="shared" si="7"/>
        <v>-4.2356191509909283E-2</v>
      </c>
      <c r="I177" s="232">
        <f t="shared" si="7"/>
        <v>1.0891780258708531E-2</v>
      </c>
    </row>
    <row r="178" spans="2:10" x14ac:dyDescent="0.3">
      <c r="C178" s="83" t="s">
        <v>108</v>
      </c>
      <c r="D178" s="113" t="s">
        <v>133</v>
      </c>
      <c r="E178" s="232">
        <f t="shared" si="7"/>
        <v>-6.7885117493472494E-2</v>
      </c>
      <c r="F178" s="232">
        <f t="shared" si="7"/>
        <v>-3.0569666182873649E-2</v>
      </c>
      <c r="G178" s="232">
        <f t="shared" si="7"/>
        <v>-9.5752006458659805E-2</v>
      </c>
      <c r="H178" s="232">
        <f t="shared" si="7"/>
        <v>-3.8438449201215037E-2</v>
      </c>
      <c r="I178" s="232">
        <f t="shared" si="7"/>
        <v>-1.2854310551427591E-3</v>
      </c>
    </row>
    <row r="179" spans="2:10" x14ac:dyDescent="0.3">
      <c r="C179" s="83" t="s">
        <v>112</v>
      </c>
      <c r="D179" s="113" t="s">
        <v>133</v>
      </c>
      <c r="E179" s="232">
        <f t="shared" si="7"/>
        <v>-3.1169709263015637E-2</v>
      </c>
      <c r="F179" s="232">
        <f t="shared" si="7"/>
        <v>-5.772547728768937E-2</v>
      </c>
      <c r="G179" s="232">
        <f t="shared" si="7"/>
        <v>-7.3888770509269092E-2</v>
      </c>
      <c r="H179" s="232">
        <f t="shared" si="7"/>
        <v>-6.2521088651917758E-2</v>
      </c>
      <c r="I179" s="232">
        <f t="shared" si="7"/>
        <v>-4.4414831981460109E-2</v>
      </c>
    </row>
    <row r="180" spans="2:10" x14ac:dyDescent="0.3">
      <c r="C180" s="83" t="s">
        <v>114</v>
      </c>
      <c r="D180" s="113" t="s">
        <v>133</v>
      </c>
      <c r="E180" s="232">
        <f t="shared" si="7"/>
        <v>-5.4677817955678505E-2</v>
      </c>
      <c r="F180" s="232">
        <f t="shared" si="7"/>
        <v>-3.691949225013956E-2</v>
      </c>
      <c r="G180" s="232">
        <f t="shared" si="7"/>
        <v>-6.7620093532759721E-3</v>
      </c>
      <c r="H180" s="232">
        <f t="shared" si="7"/>
        <v>4.2542211614441773E-3</v>
      </c>
      <c r="I180" s="232">
        <f t="shared" si="7"/>
        <v>8.0107913111338788E-3</v>
      </c>
    </row>
    <row r="181" spans="2:10" x14ac:dyDescent="0.3">
      <c r="C181" s="83" t="s">
        <v>110</v>
      </c>
      <c r="D181" s="113" t="s">
        <v>133</v>
      </c>
      <c r="E181" s="232">
        <f t="shared" si="7"/>
        <v>-5.0291857738159328E-2</v>
      </c>
      <c r="F181" s="232">
        <f t="shared" si="7"/>
        <v>-4.9900811048916013E-2</v>
      </c>
      <c r="G181" s="232">
        <f t="shared" si="7"/>
        <v>-5.6307178186461158E-2</v>
      </c>
      <c r="H181" s="232">
        <f t="shared" si="7"/>
        <v>-3.2654902745304845E-2</v>
      </c>
      <c r="I181" s="232">
        <f t="shared" si="7"/>
        <v>-5.645022270927033E-3</v>
      </c>
    </row>
    <row r="183" spans="2:10" x14ac:dyDescent="0.3">
      <c r="C183" s="12" t="s">
        <v>424</v>
      </c>
      <c r="D183" s="13" t="s">
        <v>133</v>
      </c>
      <c r="E183" s="232">
        <f xml:space="preserve"> IFERROR( E161 / E139, 0 )</f>
        <v>-5.7912574733999328E-2</v>
      </c>
      <c r="F183" s="232">
        <f xml:space="preserve"> IFERROR( F161 / F139, 0 )</f>
        <v>-5.6964817973794366E-2</v>
      </c>
      <c r="G183" s="232">
        <f xml:space="preserve"> IFERROR( G161 / G139, 0 )</f>
        <v>-4.1272393721018291E-2</v>
      </c>
      <c r="H183" s="232">
        <f xml:space="preserve"> IFERROR( H161 / H139, 0 )</f>
        <v>-1.5982000278121789E-2</v>
      </c>
      <c r="I183" s="232">
        <f xml:space="preserve"> IFERROR( I161 / I139, 0 )</f>
        <v>8.3880953845943875E-3</v>
      </c>
    </row>
    <row r="185" spans="2:10" x14ac:dyDescent="0.3">
      <c r="B185" s="17" t="s">
        <v>25</v>
      </c>
      <c r="C185" s="17"/>
      <c r="D185" s="74"/>
      <c r="E185" s="17"/>
      <c r="F185" s="17"/>
      <c r="G185" s="17"/>
      <c r="H185" s="17"/>
      <c r="I185" s="17"/>
      <c r="J185" s="17"/>
    </row>
  </sheetData>
  <pageMargins left="0.7" right="0.7" top="0.75" bottom="0.75" header="0.3" footer="0.3"/>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K347"/>
  <sheetViews>
    <sheetView showGridLines="0" workbookViewId="0">
      <pane ySplit="3" topLeftCell="A4" activePane="bottomLeft" state="frozen"/>
      <selection pane="bottomLeft"/>
    </sheetView>
  </sheetViews>
  <sheetFormatPr defaultColWidth="9" defaultRowHeight="13" x14ac:dyDescent="0.3"/>
  <cols>
    <col min="1" max="2" width="2.58203125" style="8" customWidth="1"/>
    <col min="3" max="3" width="23.08203125" style="8" bestFit="1" customWidth="1"/>
    <col min="4" max="4" width="9.83203125" style="11" customWidth="1"/>
    <col min="5" max="9" width="8" style="8" customWidth="1"/>
    <col min="10" max="10" width="2.58203125" style="8" customWidth="1"/>
    <col min="11" max="16384" width="9" style="8"/>
  </cols>
  <sheetData>
    <row r="2" spans="2:11" s="18" customFormat="1" x14ac:dyDescent="0.3">
      <c r="B2" s="19"/>
      <c r="C2" s="134" t="s">
        <v>384</v>
      </c>
      <c r="D2" s="135" t="s">
        <v>385</v>
      </c>
      <c r="E2" s="136" t="s">
        <v>175</v>
      </c>
      <c r="F2" s="136" t="s">
        <v>176</v>
      </c>
      <c r="G2" s="136" t="s">
        <v>177</v>
      </c>
      <c r="H2" s="136" t="s">
        <v>178</v>
      </c>
      <c r="I2" s="136" t="s">
        <v>151</v>
      </c>
      <c r="J2" s="21"/>
      <c r="K2" s="24"/>
    </row>
    <row r="3" spans="2:11" s="18" customFormat="1" x14ac:dyDescent="0.3">
      <c r="B3" s="25"/>
      <c r="C3" s="26" t="s">
        <v>386</v>
      </c>
      <c r="D3" s="26"/>
      <c r="E3" s="26">
        <v>3</v>
      </c>
      <c r="F3" s="26">
        <v>4</v>
      </c>
      <c r="G3" s="26">
        <v>5</v>
      </c>
      <c r="H3" s="26">
        <v>6</v>
      </c>
      <c r="I3" s="26">
        <v>7</v>
      </c>
      <c r="J3" s="23"/>
      <c r="K3" s="27"/>
    </row>
    <row r="5" spans="2:11" ht="13.5" x14ac:dyDescent="0.35">
      <c r="B5" s="9" t="s">
        <v>557</v>
      </c>
      <c r="C5" s="9"/>
      <c r="D5" s="10"/>
      <c r="E5" s="9"/>
      <c r="F5" s="9"/>
      <c r="G5" s="9"/>
      <c r="H5" s="9"/>
      <c r="I5" s="9"/>
      <c r="J5" s="9"/>
    </row>
    <row r="7" spans="2:11" ht="13.5" x14ac:dyDescent="0.35">
      <c r="B7" s="32" t="s">
        <v>558</v>
      </c>
      <c r="C7" s="32"/>
      <c r="D7" s="33"/>
      <c r="E7" s="32"/>
      <c r="F7" s="32"/>
      <c r="G7" s="32"/>
      <c r="H7" s="32"/>
      <c r="I7" s="32"/>
      <c r="J7" s="32"/>
    </row>
    <row r="9" spans="2:11" x14ac:dyDescent="0.3">
      <c r="C9" s="8" t="s">
        <v>80</v>
      </c>
      <c r="D9" s="11" t="s">
        <v>127</v>
      </c>
      <c r="E9" s="14">
        <f xml:space="preserve"> 'INPUTS│Residential Retail'!E9 * 'INPUTS│Residential Retail'!E107 / 1000</f>
        <v>2.3306552625579613</v>
      </c>
      <c r="F9" s="14">
        <f xml:space="preserve"> 'INPUTS│Residential Retail'!F9 * 'INPUTS│Residential Retail'!F107 / 1000</f>
        <v>2.3136745426262255</v>
      </c>
      <c r="G9" s="14">
        <f xml:space="preserve"> 'INPUTS│Residential Retail'!G9 * 'INPUTS│Residential Retail'!G107 / 1000</f>
        <v>2.2706355492678894</v>
      </c>
      <c r="H9" s="14">
        <f xml:space="preserve"> 'INPUTS│Residential Retail'!H9 * 'INPUTS│Residential Retail'!H107 / 1000</f>
        <v>2.2258135167552071</v>
      </c>
      <c r="I9" s="14">
        <f xml:space="preserve"> 'INPUTS│Residential Retail'!I9 * 'INPUTS│Residential Retail'!I107 / 1000</f>
        <v>2.1727145847525402</v>
      </c>
    </row>
    <row r="10" spans="2:11" x14ac:dyDescent="0.3">
      <c r="C10" s="8" t="s">
        <v>82</v>
      </c>
      <c r="D10" s="11" t="s">
        <v>127</v>
      </c>
      <c r="E10" s="14">
        <f xml:space="preserve"> 'INPUTS│Residential Retail'!E10 * 'INPUTS│Residential Retail'!E108 / 1000</f>
        <v>1.7570318693583999</v>
      </c>
      <c r="F10" s="14">
        <f xml:space="preserve"> 'INPUTS│Residential Retail'!F10 * 'INPUTS│Residential Retail'!F108 / 1000</f>
        <v>1.5696910101749011</v>
      </c>
      <c r="G10" s="14">
        <f xml:space="preserve"> 'INPUTS│Residential Retail'!G10 * 'INPUTS│Residential Retail'!G108 / 1000</f>
        <v>1.5167020589259976</v>
      </c>
      <c r="H10" s="14">
        <f xml:space="preserve"> 'INPUTS│Residential Retail'!H10 * 'INPUTS│Residential Retail'!H108 / 1000</f>
        <v>1.4625103788097247</v>
      </c>
      <c r="I10" s="14">
        <f xml:space="preserve"> 'INPUTS│Residential Retail'!I10 * 'INPUTS│Residential Retail'!I108 / 1000</f>
        <v>1.4451030363456239</v>
      </c>
    </row>
    <row r="11" spans="2:11" x14ac:dyDescent="0.3">
      <c r="C11" s="8" t="s">
        <v>85</v>
      </c>
      <c r="D11" s="11" t="s">
        <v>127</v>
      </c>
      <c r="E11" s="14">
        <f xml:space="preserve"> 'INPUTS│Residential Retail'!E11 * 'INPUTS│Residential Retail'!E109 / 1000</f>
        <v>1.0817075437034467</v>
      </c>
      <c r="F11" s="14">
        <f xml:space="preserve"> 'INPUTS│Residential Retail'!F11 * 'INPUTS│Residential Retail'!F109 / 1000</f>
        <v>1.0576544886898973</v>
      </c>
      <c r="G11" s="14">
        <f xml:space="preserve"> 'INPUTS│Residential Retail'!G11 * 'INPUTS│Residential Retail'!G109 / 1000</f>
        <v>1.0252273146550144</v>
      </c>
      <c r="H11" s="14">
        <f xml:space="preserve"> 'INPUTS│Residential Retail'!H11 * 'INPUTS│Residential Retail'!H109 / 1000</f>
        <v>0.72628118456536517</v>
      </c>
      <c r="I11" s="14">
        <f xml:space="preserve"> 'INPUTS│Residential Retail'!I11 * 'INPUTS│Residential Retail'!I109 / 1000</f>
        <v>0.71479399999999993</v>
      </c>
    </row>
    <row r="12" spans="2:11" x14ac:dyDescent="0.3">
      <c r="C12" s="8" t="s">
        <v>87</v>
      </c>
      <c r="D12" s="11" t="s">
        <v>127</v>
      </c>
      <c r="E12" s="14">
        <f xml:space="preserve"> 'INPUTS│Residential Retail'!E12 * 'INPUTS│Residential Retail'!E110 / 1000</f>
        <v>7.6173240326156497</v>
      </c>
      <c r="F12" s="14">
        <f xml:space="preserve"> 'INPUTS│Residential Retail'!F12 * 'INPUTS│Residential Retail'!F110 / 1000</f>
        <v>7.4743599237806189</v>
      </c>
      <c r="G12" s="14">
        <f xml:space="preserve"> 'INPUTS│Residential Retail'!G12 * 'INPUTS│Residential Retail'!G110 / 1000</f>
        <v>7.2853402182107665</v>
      </c>
      <c r="H12" s="14">
        <f xml:space="preserve"> 'INPUTS│Residential Retail'!H12 * 'INPUTS│Residential Retail'!H110 / 1000</f>
        <v>7.1527631613713547</v>
      </c>
      <c r="I12" s="14">
        <f xml:space="preserve"> 'INPUTS│Residential Retail'!I12 * 'INPUTS│Residential Retail'!I110 / 1000</f>
        <v>7.0378056227781203</v>
      </c>
    </row>
    <row r="13" spans="2:11" x14ac:dyDescent="0.3">
      <c r="C13" s="8" t="s">
        <v>89</v>
      </c>
      <c r="D13" s="11" t="s">
        <v>127</v>
      </c>
      <c r="E13" s="14">
        <f xml:space="preserve"> 'INPUTS│Residential Retail'!E13 * 'INPUTS│Residential Retail'!E111 / 1000</f>
        <v>3.2564893606415337</v>
      </c>
      <c r="F13" s="14">
        <f xml:space="preserve"> 'INPUTS│Residential Retail'!F13 * 'INPUTS│Residential Retail'!F111 / 1000</f>
        <v>3.2177758609251561</v>
      </c>
      <c r="G13" s="14">
        <f xml:space="preserve"> 'INPUTS│Residential Retail'!G13 * 'INPUTS│Residential Retail'!G111 / 1000</f>
        <v>3.2553114690104117</v>
      </c>
      <c r="H13" s="14">
        <f xml:space="preserve"> 'INPUTS│Residential Retail'!H13 * 'INPUTS│Residential Retail'!H111 / 1000</f>
        <v>3.4466745599999999</v>
      </c>
      <c r="I13" s="14">
        <f xml:space="preserve"> 'INPUTS│Residential Retail'!I13 * 'INPUTS│Residential Retail'!I111 / 1000</f>
        <v>3.4016825757713405</v>
      </c>
    </row>
    <row r="14" spans="2:11" x14ac:dyDescent="0.3">
      <c r="C14" s="8" t="s">
        <v>91</v>
      </c>
      <c r="D14" s="11" t="s">
        <v>127</v>
      </c>
      <c r="E14" s="14">
        <f xml:space="preserve"> 'INPUTS│Residential Retail'!E14 * 'INPUTS│Residential Retail'!E112 / 1000</f>
        <v>2.3070035273099245</v>
      </c>
      <c r="F14" s="14">
        <f xml:space="preserve"> 'INPUTS│Residential Retail'!F14 * 'INPUTS│Residential Retail'!F112 / 1000</f>
        <v>2.2587990377433189</v>
      </c>
      <c r="G14" s="14">
        <f xml:space="preserve"> 'INPUTS│Residential Retail'!G14 * 'INPUTS│Residential Retail'!G112 / 1000</f>
        <v>2.2235723075374674</v>
      </c>
      <c r="H14" s="14">
        <f xml:space="preserve"> 'INPUTS│Residential Retail'!H14 * 'INPUTS│Residential Retail'!H112 / 1000</f>
        <v>2.1837869870999276</v>
      </c>
      <c r="I14" s="14">
        <f xml:space="preserve"> 'INPUTS│Residential Retail'!I14 * 'INPUTS│Residential Retail'!I112 / 1000</f>
        <v>2.1305936585661285</v>
      </c>
    </row>
    <row r="15" spans="2:11" x14ac:dyDescent="0.3">
      <c r="C15" s="8" t="s">
        <v>94</v>
      </c>
      <c r="D15" s="11" t="s">
        <v>127</v>
      </c>
      <c r="E15" s="14">
        <f xml:space="preserve"> 'INPUTS│Residential Retail'!E15 * 'INPUTS│Residential Retail'!E113 / 1000</f>
        <v>0.52447022433268142</v>
      </c>
      <c r="F15" s="14">
        <f xml:space="preserve"> 'INPUTS│Residential Retail'!F15 * 'INPUTS│Residential Retail'!F113 / 1000</f>
        <v>0.43125837961858088</v>
      </c>
      <c r="G15" s="14">
        <f xml:space="preserve"> 'INPUTS│Residential Retail'!G15 * 'INPUTS│Residential Retail'!G113 / 1000</f>
        <v>0.38459781334198817</v>
      </c>
      <c r="H15" s="14">
        <f xml:space="preserve"> 'INPUTS│Residential Retail'!H15 * 'INPUTS│Residential Retail'!H113 / 1000</f>
        <v>0.35277440505829555</v>
      </c>
      <c r="I15" s="14">
        <f xml:space="preserve"> 'INPUTS│Residential Retail'!I15 * 'INPUTS│Residential Retail'!I113 / 1000</f>
        <v>0.36011005934806434</v>
      </c>
    </row>
    <row r="16" spans="2:11" x14ac:dyDescent="0.3">
      <c r="C16" s="8" t="s">
        <v>96</v>
      </c>
      <c r="D16" s="11" t="s">
        <v>127</v>
      </c>
      <c r="E16" s="14">
        <f xml:space="preserve"> 'INPUTS│Residential Retail'!E16 * 'INPUTS│Residential Retail'!E114 / 1000</f>
        <v>0.6053169707479259</v>
      </c>
      <c r="F16" s="14">
        <f xml:space="preserve"> 'INPUTS│Residential Retail'!F16 * 'INPUTS│Residential Retail'!F114 / 1000</f>
        <v>0.6013146797192872</v>
      </c>
      <c r="G16" s="14">
        <f xml:space="preserve"> 'INPUTS│Residential Retail'!G16 * 'INPUTS│Residential Retail'!G114 / 1000</f>
        <v>0.60579346603386708</v>
      </c>
      <c r="H16" s="14">
        <f xml:space="preserve"> 'INPUTS│Residential Retail'!H16 * 'INPUTS│Residential Retail'!H114 / 1000</f>
        <v>0.61652245811794104</v>
      </c>
      <c r="I16" s="14">
        <f xml:space="preserve"> 'INPUTS│Residential Retail'!I16 * 'INPUTS│Residential Retail'!I114 / 1000</f>
        <v>0.65394277999999995</v>
      </c>
    </row>
    <row r="17" spans="2:10" x14ac:dyDescent="0.3">
      <c r="C17" s="8" t="s">
        <v>98</v>
      </c>
      <c r="D17" s="11" t="s">
        <v>127</v>
      </c>
      <c r="E17" s="14">
        <f xml:space="preserve"> 'INPUTS│Residential Retail'!E17 * 'INPUTS│Residential Retail'!E115 / 1000</f>
        <v>1.4753653456572495</v>
      </c>
      <c r="F17" s="14">
        <f xml:space="preserve"> 'INPUTS│Residential Retail'!F17 * 'INPUTS│Residential Retail'!F115 / 1000</f>
        <v>1.3964536274938046</v>
      </c>
      <c r="G17" s="14">
        <f xml:space="preserve"> 'INPUTS│Residential Retail'!G17 * 'INPUTS│Residential Retail'!G115 / 1000</f>
        <v>1.307263771127539</v>
      </c>
      <c r="H17" s="14">
        <f xml:space="preserve"> 'INPUTS│Residential Retail'!H17 * 'INPUTS│Residential Retail'!H115 / 1000</f>
        <v>1.2281370032364609</v>
      </c>
      <c r="I17" s="14">
        <f xml:space="preserve"> 'INPUTS│Residential Retail'!I17 * 'INPUTS│Residential Retail'!I115 / 1000</f>
        <v>1.2414829241487702</v>
      </c>
    </row>
    <row r="18" spans="2:10" x14ac:dyDescent="0.3">
      <c r="C18" s="8" t="s">
        <v>100</v>
      </c>
      <c r="D18" s="11" t="s">
        <v>127</v>
      </c>
      <c r="E18" s="14">
        <f xml:space="preserve"> 'INPUTS│Residential Retail'!E18 * 'INPUTS│Residential Retail'!E116 / 1000</f>
        <v>0.47791547556676883</v>
      </c>
      <c r="F18" s="14">
        <f xml:space="preserve"> 'INPUTS│Residential Retail'!F18 * 'INPUTS│Residential Retail'!F116 / 1000</f>
        <v>0.48143790904891859</v>
      </c>
      <c r="G18" s="14">
        <f xml:space="preserve"> 'INPUTS│Residential Retail'!G18 * 'INPUTS│Residential Retail'!G116 / 1000</f>
        <v>0.47669234889991047</v>
      </c>
      <c r="H18" s="14">
        <f xml:space="preserve"> 'INPUTS│Residential Retail'!H18 * 'INPUTS│Residential Retail'!H116 / 1000</f>
        <v>0.47315407078740229</v>
      </c>
      <c r="I18" s="14">
        <f xml:space="preserve"> 'INPUTS│Residential Retail'!I18 * 'INPUTS│Residential Retail'!I116 / 1000</f>
        <v>0.47239107550339043</v>
      </c>
    </row>
    <row r="19" spans="2:10" x14ac:dyDescent="0.3">
      <c r="C19" s="8" t="s">
        <v>102</v>
      </c>
      <c r="D19" s="11" t="s">
        <v>127</v>
      </c>
      <c r="E19" s="14">
        <f xml:space="preserve"> 'INPUTS│Residential Retail'!E19 * 'INPUTS│Residential Retail'!E117 / 1000</f>
        <v>1.1494446388172299</v>
      </c>
      <c r="F19" s="14">
        <f xml:space="preserve"> 'INPUTS│Residential Retail'!F19 * 'INPUTS│Residential Retail'!F117 / 1000</f>
        <v>1.1526981409767527</v>
      </c>
      <c r="G19" s="14">
        <f xml:space="preserve"> 'INPUTS│Residential Retail'!G19 * 'INPUTS│Residential Retail'!G117 / 1000</f>
        <v>1.1437157644150817</v>
      </c>
      <c r="H19" s="14">
        <f xml:space="preserve"> 'INPUTS│Residential Retail'!H19 * 'INPUTS│Residential Retail'!H117 / 1000</f>
        <v>1.1493948895532908</v>
      </c>
      <c r="I19" s="14">
        <f xml:space="preserve"> 'INPUTS│Residential Retail'!I19 * 'INPUTS│Residential Retail'!I117 / 1000</f>
        <v>1.1354923744247374</v>
      </c>
    </row>
    <row r="20" spans="2:10" x14ac:dyDescent="0.3">
      <c r="C20" s="8" t="s">
        <v>104</v>
      </c>
      <c r="D20" s="11" t="s">
        <v>127</v>
      </c>
      <c r="E20" s="14">
        <f xml:space="preserve"> 'INPUTS│Residential Retail'!E20 * 'INPUTS│Residential Retail'!E118 / 1000</f>
        <v>11.398315050930679</v>
      </c>
      <c r="F20" s="14">
        <f xml:space="preserve"> 'INPUTS│Residential Retail'!F20 * 'INPUTS│Residential Retail'!F118 / 1000</f>
        <v>11.043615693107911</v>
      </c>
      <c r="G20" s="14">
        <f xml:space="preserve"> 'INPUTS│Residential Retail'!G20 * 'INPUTS│Residential Retail'!G118 / 1000</f>
        <v>10.513514860400551</v>
      </c>
      <c r="H20" s="14">
        <f xml:space="preserve"> 'INPUTS│Residential Retail'!H20 * 'INPUTS│Residential Retail'!H118 / 1000</f>
        <v>9.8520420817049921</v>
      </c>
      <c r="I20" s="14">
        <f xml:space="preserve"> 'INPUTS│Residential Retail'!I20 * 'INPUTS│Residential Retail'!I118 / 1000</f>
        <v>9.1226133703214085</v>
      </c>
    </row>
    <row r="21" spans="2:10" x14ac:dyDescent="0.3">
      <c r="C21" s="8" t="s">
        <v>106</v>
      </c>
      <c r="D21" s="11" t="s">
        <v>127</v>
      </c>
      <c r="E21" s="14">
        <f xml:space="preserve"> 'INPUTS│Residential Retail'!E21 * 'INPUTS│Residential Retail'!E119 / 1000</f>
        <v>4.5736877988734026</v>
      </c>
      <c r="F21" s="14">
        <f xml:space="preserve"> 'INPUTS│Residential Retail'!F21 * 'INPUTS│Residential Retail'!F119 / 1000</f>
        <v>4.5983845484062131</v>
      </c>
      <c r="G21" s="14">
        <f xml:space="preserve"> 'INPUTS│Residential Retail'!G21 * 'INPUTS│Residential Retail'!G119 / 1000</f>
        <v>4.5897395317403369</v>
      </c>
      <c r="H21" s="14">
        <f xml:space="preserve"> 'INPUTS│Residential Retail'!H21 * 'INPUTS│Residential Retail'!H119 / 1000</f>
        <v>4.4677140374230033</v>
      </c>
      <c r="I21" s="14">
        <f xml:space="preserve"> 'INPUTS│Residential Retail'!I21 * 'INPUTS│Residential Retail'!I119 / 1000</f>
        <v>4.3603643248319139</v>
      </c>
    </row>
    <row r="22" spans="2:10" x14ac:dyDescent="0.3">
      <c r="C22" s="8" t="s">
        <v>108</v>
      </c>
      <c r="D22" s="11" t="s">
        <v>127</v>
      </c>
      <c r="E22" s="14">
        <f xml:space="preserve"> 'INPUTS│Residential Retail'!E22 * 'INPUTS│Residential Retail'!E120 / 1000</f>
        <v>3.026718301261786</v>
      </c>
      <c r="F22" s="14">
        <f xml:space="preserve"> 'INPUTS│Residential Retail'!F22 * 'INPUTS│Residential Retail'!F120 / 1000</f>
        <v>2.9986384511787714</v>
      </c>
      <c r="G22" s="14">
        <f xml:space="preserve"> 'INPUTS│Residential Retail'!G22 * 'INPUTS│Residential Retail'!G120 / 1000</f>
        <v>2.9657827698334684</v>
      </c>
      <c r="H22" s="14">
        <f xml:space="preserve"> 'INPUTS│Residential Retail'!H22 * 'INPUTS│Residential Retail'!H120 / 1000</f>
        <v>2.9367469141652718</v>
      </c>
      <c r="I22" s="14">
        <f xml:space="preserve"> 'INPUTS│Residential Retail'!I22 * 'INPUTS│Residential Retail'!I120 / 1000</f>
        <v>2.922884191496733</v>
      </c>
    </row>
    <row r="23" spans="2:10" x14ac:dyDescent="0.3">
      <c r="C23" s="8" t="s">
        <v>112</v>
      </c>
      <c r="D23" s="11" t="s">
        <v>127</v>
      </c>
      <c r="E23" s="14">
        <f xml:space="preserve"> 'INPUTS│Residential Retail'!E23 * 'INPUTS│Residential Retail'!E121 / 1000</f>
        <v>4.3806223712365746</v>
      </c>
      <c r="F23" s="14">
        <f xml:space="preserve"> 'INPUTS│Residential Retail'!F23 * 'INPUTS│Residential Retail'!F121 / 1000</f>
        <v>3.6086968826835939</v>
      </c>
      <c r="G23" s="14">
        <f xml:space="preserve"> 'INPUTS│Residential Retail'!G23 * 'INPUTS│Residential Retail'!G121 / 1000</f>
        <v>2.8289616389891541</v>
      </c>
      <c r="H23" s="14">
        <f xml:space="preserve"> 'INPUTS│Residential Retail'!H23 * 'INPUTS│Residential Retail'!H121 / 1000</f>
        <v>2.1510225464887749</v>
      </c>
      <c r="I23" s="14">
        <f xml:space="preserve"> 'INPUTS│Residential Retail'!I23 * 'INPUTS│Residential Retail'!I121 / 1000</f>
        <v>1.8268853210340126</v>
      </c>
    </row>
    <row r="24" spans="2:10" x14ac:dyDescent="0.3">
      <c r="C24" s="8" t="s">
        <v>114</v>
      </c>
      <c r="D24" s="11" t="s">
        <v>127</v>
      </c>
      <c r="E24" s="14">
        <f xml:space="preserve"> 'INPUTS│Residential Retail'!E24 * 'INPUTS│Residential Retail'!E122 / 1000</f>
        <v>7.779551310276819</v>
      </c>
      <c r="F24" s="14">
        <f xml:space="preserve"> 'INPUTS│Residential Retail'!F24 * 'INPUTS│Residential Retail'!F122 / 1000</f>
        <v>7.6544069570983693</v>
      </c>
      <c r="G24" s="14">
        <f xml:space="preserve"> 'INPUTS│Residential Retail'!G24 * 'INPUTS│Residential Retail'!G122 / 1000</f>
        <v>7.9892035098363792</v>
      </c>
      <c r="H24" s="14">
        <f xml:space="preserve"> 'INPUTS│Residential Retail'!H24 * 'INPUTS│Residential Retail'!H122 / 1000</f>
        <v>8.2411242261167956</v>
      </c>
      <c r="I24" s="14">
        <f xml:space="preserve"> 'INPUTS│Residential Retail'!I24 * 'INPUTS│Residential Retail'!I122 / 1000</f>
        <v>7.9910200338436246</v>
      </c>
    </row>
    <row r="25" spans="2:10" x14ac:dyDescent="0.3">
      <c r="C25" s="8" t="s">
        <v>110</v>
      </c>
      <c r="D25" s="11" t="s">
        <v>127</v>
      </c>
      <c r="E25" s="14">
        <f xml:space="preserve"> 'INPUTS│Residential Retail'!E25 * 'INPUTS│Residential Retail'!E123 / 1000</f>
        <v>2.4688329307528845</v>
      </c>
      <c r="F25" s="14">
        <f xml:space="preserve"> 'INPUTS│Residential Retail'!F25 * 'INPUTS│Residential Retail'!F123 / 1000</f>
        <v>2.3432730753464868</v>
      </c>
      <c r="G25" s="14">
        <f xml:space="preserve"> 'INPUTS│Residential Retail'!G25 * 'INPUTS│Residential Retail'!G123 / 1000</f>
        <v>2.3268873737361893</v>
      </c>
      <c r="H25" s="14">
        <f xml:space="preserve"> 'INPUTS│Residential Retail'!H25 * 'INPUTS│Residential Retail'!H123 / 1000</f>
        <v>2.2082466724158776</v>
      </c>
      <c r="I25" s="14">
        <f xml:space="preserve"> 'INPUTS│Residential Retail'!I25 * 'INPUTS│Residential Retail'!I123 / 1000</f>
        <v>2.0109634274345565</v>
      </c>
    </row>
    <row r="27" spans="2:10" ht="13.5" x14ac:dyDescent="0.35">
      <c r="B27" s="32" t="s">
        <v>559</v>
      </c>
      <c r="C27" s="32"/>
      <c r="D27" s="33"/>
      <c r="E27" s="32"/>
      <c r="F27" s="32"/>
      <c r="G27" s="32"/>
      <c r="H27" s="32"/>
      <c r="I27" s="32"/>
      <c r="J27" s="32"/>
    </row>
    <row r="29" spans="2:10" x14ac:dyDescent="0.3">
      <c r="C29" s="8" t="s">
        <v>80</v>
      </c>
      <c r="D29" s="11" t="s">
        <v>127</v>
      </c>
      <c r="E29" s="14">
        <f xml:space="preserve"> 'INPUTS│Residential Retail'!E29 * 'INPUTS│Residential Retail'!E127 / 1000</f>
        <v>6.041607372409084</v>
      </c>
      <c r="F29" s="14">
        <f xml:space="preserve"> 'INPUTS│Residential Retail'!F29 * 'INPUTS│Residential Retail'!F127 / 1000</f>
        <v>6.0109951667145154</v>
      </c>
      <c r="G29" s="14">
        <f xml:space="preserve"> 'INPUTS│Residential Retail'!G29 * 'INPUTS│Residential Retail'!G127 / 1000</f>
        <v>5.9739983386298423</v>
      </c>
      <c r="H29" s="14">
        <f xml:space="preserve"> 'INPUTS│Residential Retail'!H29 * 'INPUTS│Residential Retail'!H127 / 1000</f>
        <v>5.7733924885291099</v>
      </c>
      <c r="I29" s="14">
        <f xml:space="preserve"> 'INPUTS│Residential Retail'!I29 * 'INPUTS│Residential Retail'!I127 / 1000</f>
        <v>5.6051612926574927</v>
      </c>
    </row>
    <row r="30" spans="2:10" x14ac:dyDescent="0.3">
      <c r="C30" s="8" t="s">
        <v>82</v>
      </c>
      <c r="D30" s="11" t="s">
        <v>127</v>
      </c>
      <c r="E30" s="14">
        <f xml:space="preserve"> 'INPUTS│Residential Retail'!E30 * 'INPUTS│Residential Retail'!E128 / 1000</f>
        <v>1.6336993162161086</v>
      </c>
      <c r="F30" s="14">
        <f xml:space="preserve"> 'INPUTS│Residential Retail'!F30 * 'INPUTS│Residential Retail'!F128 / 1000</f>
        <v>1.5430610303189898</v>
      </c>
      <c r="G30" s="14">
        <f xml:space="preserve"> 'INPUTS│Residential Retail'!G30 * 'INPUTS│Residential Retail'!G128 / 1000</f>
        <v>1.4633469803463128</v>
      </c>
      <c r="H30" s="14">
        <f xml:space="preserve"> 'INPUTS│Residential Retail'!H30 * 'INPUTS│Residential Retail'!H128 / 1000</f>
        <v>1.3535204862826329</v>
      </c>
      <c r="I30" s="14">
        <f xml:space="preserve"> 'INPUTS│Residential Retail'!I30 * 'INPUTS│Residential Retail'!I128 / 1000</f>
        <v>1.37571424337863</v>
      </c>
    </row>
    <row r="31" spans="2:10" x14ac:dyDescent="0.3">
      <c r="C31" s="8" t="s">
        <v>85</v>
      </c>
      <c r="D31" s="11" t="s">
        <v>127</v>
      </c>
      <c r="E31" s="14">
        <f xml:space="preserve"> 'INPUTS│Residential Retail'!E31 * 'INPUTS│Residential Retail'!E129 / 1000</f>
        <v>0</v>
      </c>
      <c r="F31" s="14">
        <f xml:space="preserve"> 'INPUTS│Residential Retail'!F31 * 'INPUTS│Residential Retail'!F129 / 1000</f>
        <v>0</v>
      </c>
      <c r="G31" s="14">
        <f xml:space="preserve"> 'INPUTS│Residential Retail'!G31 * 'INPUTS│Residential Retail'!G129 / 1000</f>
        <v>0</v>
      </c>
      <c r="H31" s="14">
        <f xml:space="preserve"> 'INPUTS│Residential Retail'!H31 * 'INPUTS│Residential Retail'!H129 / 1000</f>
        <v>2.4838913800922131E-2</v>
      </c>
      <c r="I31" s="14">
        <f xml:space="preserve"> 'INPUTS│Residential Retail'!I31 * 'INPUTS│Residential Retail'!I129 / 1000</f>
        <v>2.4680344791690057E-2</v>
      </c>
    </row>
    <row r="32" spans="2:10" x14ac:dyDescent="0.3">
      <c r="C32" s="8" t="s">
        <v>87</v>
      </c>
      <c r="D32" s="11" t="s">
        <v>127</v>
      </c>
      <c r="E32" s="14">
        <f xml:space="preserve"> 'INPUTS│Residential Retail'!E32 * 'INPUTS│Residential Retail'!E130 / 1000</f>
        <v>0.83083591371682852</v>
      </c>
      <c r="F32" s="14">
        <f xml:space="preserve"> 'INPUTS│Residential Retail'!F32 * 'INPUTS│Residential Retail'!F130 / 1000</f>
        <v>0.8353032273769857</v>
      </c>
      <c r="G32" s="14">
        <f xml:space="preserve"> 'INPUTS│Residential Retail'!G32 * 'INPUTS│Residential Retail'!G130 / 1000</f>
        <v>0.82025424768666522</v>
      </c>
      <c r="H32" s="14">
        <f xml:space="preserve"> 'INPUTS│Residential Retail'!H32 * 'INPUTS│Residential Retail'!H130 / 1000</f>
        <v>0.77540532345635671</v>
      </c>
      <c r="I32" s="14">
        <f xml:space="preserve"> 'INPUTS│Residential Retail'!I32 * 'INPUTS│Residential Retail'!I130 / 1000</f>
        <v>0.73049975148564117</v>
      </c>
    </row>
    <row r="33" spans="2:10" x14ac:dyDescent="0.3">
      <c r="C33" s="8" t="s">
        <v>89</v>
      </c>
      <c r="D33" s="11" t="s">
        <v>127</v>
      </c>
      <c r="E33" s="14">
        <f xml:space="preserve"> 'INPUTS│Residential Retail'!E33 * 'INPUTS│Residential Retail'!E131 / 1000</f>
        <v>9.6682648342799329</v>
      </c>
      <c r="F33" s="14">
        <f xml:space="preserve"> 'INPUTS│Residential Retail'!F33 * 'INPUTS│Residential Retail'!F131 / 1000</f>
        <v>10.077807859529763</v>
      </c>
      <c r="G33" s="14">
        <f xml:space="preserve"> 'INPUTS│Residential Retail'!G33 * 'INPUTS│Residential Retail'!G131 / 1000</f>
        <v>10.587347210501406</v>
      </c>
      <c r="H33" s="14">
        <f xml:space="preserve"> 'INPUTS│Residential Retail'!H33 * 'INPUTS│Residential Retail'!H131 / 1000</f>
        <v>10.289443956763519</v>
      </c>
      <c r="I33" s="14">
        <f xml:space="preserve"> 'INPUTS│Residential Retail'!I33 * 'INPUTS│Residential Retail'!I131 / 1000</f>
        <v>10.396394686204285</v>
      </c>
    </row>
    <row r="34" spans="2:10" x14ac:dyDescent="0.3">
      <c r="C34" s="8" t="s">
        <v>91</v>
      </c>
      <c r="D34" s="11" t="s">
        <v>127</v>
      </c>
      <c r="E34" s="14">
        <f xml:space="preserve"> 'INPUTS│Residential Retail'!E34 * 'INPUTS│Residential Retail'!E132 / 1000</f>
        <v>7.9920622383277254E-2</v>
      </c>
      <c r="F34" s="14">
        <f xml:space="preserve"> 'INPUTS│Residential Retail'!F34 * 'INPUTS│Residential Retail'!F132 / 1000</f>
        <v>7.7473954649596624E-2</v>
      </c>
      <c r="G34" s="14">
        <f xml:space="preserve"> 'INPUTS│Residential Retail'!G34 * 'INPUTS│Residential Retail'!G132 / 1000</f>
        <v>7.520048064540541E-2</v>
      </c>
      <c r="H34" s="14">
        <f xml:space="preserve"> 'INPUTS│Residential Retail'!H34 * 'INPUTS│Residential Retail'!H132 / 1000</f>
        <v>7.2731142792614417E-2</v>
      </c>
      <c r="I34" s="14">
        <f xml:space="preserve"> 'INPUTS│Residential Retail'!I34 * 'INPUTS│Residential Retail'!I132 / 1000</f>
        <v>7.323046857804387E-2</v>
      </c>
    </row>
    <row r="35" spans="2:10" x14ac:dyDescent="0.3">
      <c r="C35" s="8" t="s">
        <v>94</v>
      </c>
      <c r="D35" s="11" t="s">
        <v>127</v>
      </c>
      <c r="E35" s="14">
        <f xml:space="preserve"> 'INPUTS│Residential Retail'!E35 * 'INPUTS│Residential Retail'!E133 / 1000</f>
        <v>9.5663374307273585</v>
      </c>
      <c r="F35" s="14">
        <f xml:space="preserve"> 'INPUTS│Residential Retail'!F35 * 'INPUTS│Residential Retail'!F133 / 1000</f>
        <v>8.680115367834869</v>
      </c>
      <c r="G35" s="14">
        <f xml:space="preserve"> 'INPUTS│Residential Retail'!G35 * 'INPUTS│Residential Retail'!G133 / 1000</f>
        <v>7.3764521252261543</v>
      </c>
      <c r="H35" s="14">
        <f xml:space="preserve"> 'INPUTS│Residential Retail'!H35 * 'INPUTS│Residential Retail'!H133 / 1000</f>
        <v>6.2336966065048447</v>
      </c>
      <c r="I35" s="14">
        <f xml:space="preserve"> 'INPUTS│Residential Retail'!I35 * 'INPUTS│Residential Retail'!I133 / 1000</f>
        <v>6.0835212672350512</v>
      </c>
    </row>
    <row r="36" spans="2:10" x14ac:dyDescent="0.3">
      <c r="C36" s="8" t="s">
        <v>96</v>
      </c>
      <c r="D36" s="11" t="s">
        <v>127</v>
      </c>
      <c r="E36" s="14">
        <f xml:space="preserve"> 'INPUTS│Residential Retail'!E36 * 'INPUTS│Residential Retail'!E134 / 1000</f>
        <v>22.018209295138384</v>
      </c>
      <c r="F36" s="14">
        <f xml:space="preserve"> 'INPUTS│Residential Retail'!F36 * 'INPUTS│Residential Retail'!F134 / 1000</f>
        <v>21.206240953629987</v>
      </c>
      <c r="G36" s="14">
        <f xml:space="preserve"> 'INPUTS│Residential Retail'!G36 * 'INPUTS│Residential Retail'!G134 / 1000</f>
        <v>20.455786561527891</v>
      </c>
      <c r="H36" s="14">
        <f xml:space="preserve"> 'INPUTS│Residential Retail'!H36 * 'INPUTS│Residential Retail'!H134 / 1000</f>
        <v>19.407423205188248</v>
      </c>
      <c r="I36" s="14">
        <f xml:space="preserve"> 'INPUTS│Residential Retail'!I36 * 'INPUTS│Residential Retail'!I134 / 1000</f>
        <v>18.721743839999998</v>
      </c>
    </row>
    <row r="37" spans="2:10" x14ac:dyDescent="0.3">
      <c r="C37" s="8" t="s">
        <v>98</v>
      </c>
      <c r="D37" s="11" t="s">
        <v>127</v>
      </c>
      <c r="E37" s="14">
        <f xml:space="preserve"> 'INPUTS│Residential Retail'!E37 * 'INPUTS│Residential Retail'!E135 / 1000</f>
        <v>0.82341703843475988</v>
      </c>
      <c r="F37" s="14">
        <f xml:space="preserve"> 'INPUTS│Residential Retail'!F37 * 'INPUTS│Residential Retail'!F135 / 1000</f>
        <v>0.77251425317260425</v>
      </c>
      <c r="G37" s="14">
        <f xml:space="preserve"> 'INPUTS│Residential Retail'!G37 * 'INPUTS│Residential Retail'!G135 / 1000</f>
        <v>0.71895657815443126</v>
      </c>
      <c r="H37" s="14">
        <f xml:space="preserve"> 'INPUTS│Residential Retail'!H37 * 'INPUTS│Residential Retail'!H135 / 1000</f>
        <v>0.67492111791416121</v>
      </c>
      <c r="I37" s="14">
        <f xml:space="preserve"> 'INPUTS│Residential Retail'!I37 * 'INPUTS│Residential Retail'!I135 / 1000</f>
        <v>0.67370821015591376</v>
      </c>
    </row>
    <row r="38" spans="2:10" x14ac:dyDescent="0.3">
      <c r="C38" s="8" t="s">
        <v>100</v>
      </c>
      <c r="D38" s="11" t="s">
        <v>127</v>
      </c>
      <c r="E38" s="14">
        <f xml:space="preserve"> 'INPUTS│Residential Retail'!E38 * 'INPUTS│Residential Retail'!E136 / 1000</f>
        <v>6.7163284748837899</v>
      </c>
      <c r="F38" s="14">
        <f xml:space="preserve"> 'INPUTS│Residential Retail'!F38 * 'INPUTS│Residential Retail'!F136 / 1000</f>
        <v>6.6700515723253444</v>
      </c>
      <c r="G38" s="14">
        <f xml:space="preserve"> 'INPUTS│Residential Retail'!G38 * 'INPUTS│Residential Retail'!G136 / 1000</f>
        <v>6.6049485849430294</v>
      </c>
      <c r="H38" s="14">
        <f xml:space="preserve"> 'INPUTS│Residential Retail'!H38 * 'INPUTS│Residential Retail'!H136 / 1000</f>
        <v>6.3675589618135788</v>
      </c>
      <c r="I38" s="14">
        <f xml:space="preserve"> 'INPUTS│Residential Retail'!I38 * 'INPUTS│Residential Retail'!I136 / 1000</f>
        <v>6.1462138877316699</v>
      </c>
    </row>
    <row r="39" spans="2:10" x14ac:dyDescent="0.3">
      <c r="C39" s="8" t="s">
        <v>102</v>
      </c>
      <c r="D39" s="11" t="s">
        <v>127</v>
      </c>
      <c r="E39" s="14">
        <f xml:space="preserve"> 'INPUTS│Residential Retail'!E39 * 'INPUTS│Residential Retail'!E137 / 1000</f>
        <v>1.3276416936498816</v>
      </c>
      <c r="F39" s="14">
        <f xml:space="preserve"> 'INPUTS│Residential Retail'!F39 * 'INPUTS│Residential Retail'!F137 / 1000</f>
        <v>1.2704630097323288</v>
      </c>
      <c r="G39" s="14">
        <f xml:space="preserve"> 'INPUTS│Residential Retail'!G39 * 'INPUTS│Residential Retail'!G137 / 1000</f>
        <v>1.2305878892902142</v>
      </c>
      <c r="H39" s="14">
        <f xml:space="preserve"> 'INPUTS│Residential Retail'!H39 * 'INPUTS│Residential Retail'!H137 / 1000</f>
        <v>1.2282821590736255</v>
      </c>
      <c r="I39" s="14">
        <f xml:space="preserve"> 'INPUTS│Residential Retail'!I39 * 'INPUTS│Residential Retail'!I137 / 1000</f>
        <v>1.1841024577235046</v>
      </c>
    </row>
    <row r="41" spans="2:10" ht="13.5" x14ac:dyDescent="0.35">
      <c r="B41" s="32" t="s">
        <v>560</v>
      </c>
      <c r="C41" s="32"/>
      <c r="D41" s="33"/>
      <c r="E41" s="32"/>
      <c r="F41" s="32"/>
      <c r="G41" s="32"/>
      <c r="H41" s="32"/>
      <c r="I41" s="32"/>
      <c r="J41" s="32"/>
    </row>
    <row r="43" spans="2:10" x14ac:dyDescent="0.3">
      <c r="C43" s="8" t="s">
        <v>80</v>
      </c>
      <c r="D43" s="11" t="s">
        <v>127</v>
      </c>
      <c r="E43" s="14">
        <f xml:space="preserve"> 'INPUTS│Residential Retail'!E43 * 'INPUTS│Residential Retail'!E141 / 1000</f>
        <v>9.1003491064132014</v>
      </c>
      <c r="F43" s="14">
        <f xml:space="preserve"> 'INPUTS│Residential Retail'!F43 * 'INPUTS│Residential Retail'!F141 / 1000</f>
        <v>8.7568388861319324</v>
      </c>
      <c r="G43" s="14">
        <f xml:space="preserve"> 'INPUTS│Residential Retail'!G43 * 'INPUTS│Residential Retail'!G141 / 1000</f>
        <v>8.2265046752592959</v>
      </c>
      <c r="H43" s="14">
        <f xml:space="preserve"> 'INPUTS│Residential Retail'!H43 * 'INPUTS│Residential Retail'!H141 / 1000</f>
        <v>7.7768817955815086</v>
      </c>
      <c r="I43" s="14">
        <f xml:space="preserve"> 'INPUTS│Residential Retail'!I43 * 'INPUTS│Residential Retail'!I141 / 1000</f>
        <v>7.3890995493775176</v>
      </c>
    </row>
    <row r="44" spans="2:10" x14ac:dyDescent="0.3">
      <c r="C44" s="8" t="s">
        <v>82</v>
      </c>
      <c r="D44" s="11" t="s">
        <v>127</v>
      </c>
      <c r="E44" s="14">
        <f xml:space="preserve"> 'INPUTS│Residential Retail'!E44 * 'INPUTS│Residential Retail'!E142 / 1000</f>
        <v>27.622034504534138</v>
      </c>
      <c r="F44" s="14">
        <f xml:space="preserve"> 'INPUTS│Residential Retail'!F44 * 'INPUTS│Residential Retail'!F142 / 1000</f>
        <v>26.36574897920547</v>
      </c>
      <c r="G44" s="14">
        <f xml:space="preserve"> 'INPUTS│Residential Retail'!G44 * 'INPUTS│Residential Retail'!G142 / 1000</f>
        <v>25.103974895422983</v>
      </c>
      <c r="H44" s="14">
        <f xml:space="preserve"> 'INPUTS│Residential Retail'!H44 * 'INPUTS│Residential Retail'!H142 / 1000</f>
        <v>23.949162687159447</v>
      </c>
      <c r="I44" s="14">
        <f xml:space="preserve"> 'INPUTS│Residential Retail'!I44 * 'INPUTS│Residential Retail'!I142 / 1000</f>
        <v>23.373217457225216</v>
      </c>
    </row>
    <row r="45" spans="2:10" x14ac:dyDescent="0.3">
      <c r="C45" s="8" t="s">
        <v>85</v>
      </c>
      <c r="D45" s="11" t="s">
        <v>127</v>
      </c>
      <c r="E45" s="14">
        <f xml:space="preserve"> 'INPUTS│Residential Retail'!E45 * 'INPUTS│Residential Retail'!E143 / 1000</f>
        <v>0</v>
      </c>
      <c r="F45" s="14">
        <f xml:space="preserve"> 'INPUTS│Residential Retail'!F45 * 'INPUTS│Residential Retail'!F143 / 1000</f>
        <v>0</v>
      </c>
      <c r="G45" s="14">
        <f xml:space="preserve"> 'INPUTS│Residential Retail'!G45 * 'INPUTS│Residential Retail'!G143 / 1000</f>
        <v>0</v>
      </c>
      <c r="H45" s="14">
        <f xml:space="preserve"> 'INPUTS│Residential Retail'!H45 * 'INPUTS│Residential Retail'!H143 / 1000</f>
        <v>0.27576344706428119</v>
      </c>
      <c r="I45" s="14">
        <f xml:space="preserve"> 'INPUTS│Residential Retail'!I45 * 'INPUTS│Residential Retail'!I143 / 1000</f>
        <v>0.27449687113105609</v>
      </c>
    </row>
    <row r="46" spans="2:10" x14ac:dyDescent="0.3">
      <c r="C46" s="8" t="s">
        <v>87</v>
      </c>
      <c r="D46" s="11" t="s">
        <v>127</v>
      </c>
      <c r="E46" s="14">
        <f xml:space="preserve"> 'INPUTS│Residential Retail'!E46 * 'INPUTS│Residential Retail'!E144 / 1000</f>
        <v>23.037340985677339</v>
      </c>
      <c r="F46" s="14">
        <f xml:space="preserve"> 'INPUTS│Residential Retail'!F46 * 'INPUTS│Residential Retail'!F144 / 1000</f>
        <v>22.756029797570676</v>
      </c>
      <c r="G46" s="14">
        <f xml:space="preserve"> 'INPUTS│Residential Retail'!G46 * 'INPUTS│Residential Retail'!G144 / 1000</f>
        <v>22.329631958709712</v>
      </c>
      <c r="H46" s="14">
        <f xml:space="preserve"> 'INPUTS│Residential Retail'!H46 * 'INPUTS│Residential Retail'!H144 / 1000</f>
        <v>21.827076200650279</v>
      </c>
      <c r="I46" s="14">
        <f xml:space="preserve"> 'INPUTS│Residential Retail'!I46 * 'INPUTS│Residential Retail'!I144 / 1000</f>
        <v>21.394341175034402</v>
      </c>
    </row>
    <row r="47" spans="2:10" x14ac:dyDescent="0.3">
      <c r="C47" s="8" t="s">
        <v>89</v>
      </c>
      <c r="D47" s="11" t="s">
        <v>127</v>
      </c>
      <c r="E47" s="14">
        <f xml:space="preserve"> 'INPUTS│Residential Retail'!E47 * 'INPUTS│Residential Retail'!E145 / 1000</f>
        <v>47.592991517301719</v>
      </c>
      <c r="F47" s="14">
        <f xml:space="preserve"> 'INPUTS│Residential Retail'!F47 * 'INPUTS│Residential Retail'!F145 / 1000</f>
        <v>48.175014559166506</v>
      </c>
      <c r="G47" s="14">
        <f xml:space="preserve"> 'INPUTS│Residential Retail'!G47 * 'INPUTS│Residential Retail'!G145 / 1000</f>
        <v>49.335613833916952</v>
      </c>
      <c r="H47" s="14">
        <f xml:space="preserve"> 'INPUTS│Residential Retail'!H47 * 'INPUTS│Residential Retail'!H145 / 1000</f>
        <v>48.964522357169194</v>
      </c>
      <c r="I47" s="14">
        <f xml:space="preserve"> 'INPUTS│Residential Retail'!I47 * 'INPUTS│Residential Retail'!I145 / 1000</f>
        <v>48.515397212255095</v>
      </c>
    </row>
    <row r="48" spans="2:10" x14ac:dyDescent="0.3">
      <c r="C48" s="8" t="s">
        <v>91</v>
      </c>
      <c r="D48" s="11" t="s">
        <v>127</v>
      </c>
      <c r="E48" s="14">
        <f xml:space="preserve"> 'INPUTS│Residential Retail'!E48 * 'INPUTS│Residential Retail'!E146 / 1000</f>
        <v>5.1803998479110849</v>
      </c>
      <c r="F48" s="14">
        <f xml:space="preserve"> 'INPUTS│Residential Retail'!F48 * 'INPUTS│Residential Retail'!F146 / 1000</f>
        <v>4.896899891253045</v>
      </c>
      <c r="G48" s="14">
        <f xml:space="preserve"> 'INPUTS│Residential Retail'!G48 * 'INPUTS│Residential Retail'!G146 / 1000</f>
        <v>4.6451147587901485</v>
      </c>
      <c r="H48" s="14">
        <f xml:space="preserve"> 'INPUTS│Residential Retail'!H48 * 'INPUTS│Residential Retail'!H146 / 1000</f>
        <v>4.3834432824504912</v>
      </c>
      <c r="I48" s="14">
        <f xml:space="preserve"> 'INPUTS│Residential Retail'!I48 * 'INPUTS│Residential Retail'!I146 / 1000</f>
        <v>4.2450506700865134</v>
      </c>
    </row>
    <row r="49" spans="2:10" x14ac:dyDescent="0.3">
      <c r="C49" s="8" t="s">
        <v>94</v>
      </c>
      <c r="D49" s="11" t="s">
        <v>127</v>
      </c>
      <c r="E49" s="14">
        <f xml:space="preserve"> 'INPUTS│Residential Retail'!E49 * 'INPUTS│Residential Retail'!E147 / 1000</f>
        <v>4.6548083025775364</v>
      </c>
      <c r="F49" s="14">
        <f xml:space="preserve"> 'INPUTS│Residential Retail'!F49 * 'INPUTS│Residential Retail'!F147 / 1000</f>
        <v>4.0302639170582708</v>
      </c>
      <c r="G49" s="14">
        <f xml:space="preserve"> 'INPUTS│Residential Retail'!G49 * 'INPUTS│Residential Retail'!G147 / 1000</f>
        <v>3.5929662483475919</v>
      </c>
      <c r="H49" s="14">
        <f xml:space="preserve"> 'INPUTS│Residential Retail'!H49 * 'INPUTS│Residential Retail'!H147 / 1000</f>
        <v>3.281961921117269</v>
      </c>
      <c r="I49" s="14">
        <f xml:space="preserve"> 'INPUTS│Residential Retail'!I49 * 'INPUTS│Residential Retail'!I147 / 1000</f>
        <v>3.3520229344947339</v>
      </c>
    </row>
    <row r="50" spans="2:10" x14ac:dyDescent="0.3">
      <c r="C50" s="8" t="s">
        <v>96</v>
      </c>
      <c r="D50" s="11" t="s">
        <v>127</v>
      </c>
      <c r="E50" s="14">
        <f xml:space="preserve"> 'INPUTS│Residential Retail'!E50 * 'INPUTS│Residential Retail'!E148 / 1000</f>
        <v>65.499903507658644</v>
      </c>
      <c r="F50" s="14">
        <f xml:space="preserve"> 'INPUTS│Residential Retail'!F50 * 'INPUTS│Residential Retail'!F148 / 1000</f>
        <v>64.690284827045403</v>
      </c>
      <c r="G50" s="14">
        <f xml:space="preserve"> 'INPUTS│Residential Retail'!G50 * 'INPUTS│Residential Retail'!G148 / 1000</f>
        <v>64.194927008694719</v>
      </c>
      <c r="H50" s="14">
        <f xml:space="preserve"> 'INPUTS│Residential Retail'!H50 * 'INPUTS│Residential Retail'!H148 / 1000</f>
        <v>62.994677682975272</v>
      </c>
      <c r="I50" s="14">
        <f xml:space="preserve"> 'INPUTS│Residential Retail'!I50 * 'INPUTS│Residential Retail'!I148 / 1000</f>
        <v>61.038432560000004</v>
      </c>
    </row>
    <row r="51" spans="2:10" x14ac:dyDescent="0.3">
      <c r="C51" s="8" t="s">
        <v>98</v>
      </c>
      <c r="D51" s="11" t="s">
        <v>127</v>
      </c>
      <c r="E51" s="14">
        <f xml:space="preserve"> 'INPUTS│Residential Retail'!E51 * 'INPUTS│Residential Retail'!E149 / 1000</f>
        <v>73.061938049415318</v>
      </c>
      <c r="F51" s="14">
        <f xml:space="preserve"> 'INPUTS│Residential Retail'!F51 * 'INPUTS│Residential Retail'!F149 / 1000</f>
        <v>68.720091142506305</v>
      </c>
      <c r="G51" s="14">
        <f xml:space="preserve"> 'INPUTS│Residential Retail'!G51 * 'INPUTS│Residential Retail'!G149 / 1000</f>
        <v>63.245791992912501</v>
      </c>
      <c r="H51" s="14">
        <f xml:space="preserve"> 'INPUTS│Residential Retail'!H51 * 'INPUTS│Residential Retail'!H149 / 1000</f>
        <v>59.287261917984367</v>
      </c>
      <c r="I51" s="14">
        <f xml:space="preserve"> 'INPUTS│Residential Retail'!I51 * 'INPUTS│Residential Retail'!I149 / 1000</f>
        <v>59.386839689494558</v>
      </c>
    </row>
    <row r="52" spans="2:10" x14ac:dyDescent="0.3">
      <c r="C52" s="8" t="s">
        <v>100</v>
      </c>
      <c r="D52" s="11" t="s">
        <v>127</v>
      </c>
      <c r="E52" s="14">
        <f xml:space="preserve"> 'INPUTS│Residential Retail'!E52 * 'INPUTS│Residential Retail'!E150 / 1000</f>
        <v>5.6576831328621831</v>
      </c>
      <c r="F52" s="14">
        <f xml:space="preserve"> 'INPUTS│Residential Retail'!F52 * 'INPUTS│Residential Retail'!F150 / 1000</f>
        <v>5.5825669647811393</v>
      </c>
      <c r="G52" s="14">
        <f xml:space="preserve"> 'INPUTS│Residential Retail'!G52 * 'INPUTS│Residential Retail'!G150 / 1000</f>
        <v>5.4541778579047806</v>
      </c>
      <c r="H52" s="14">
        <f xml:space="preserve"> 'INPUTS│Residential Retail'!H52 * 'INPUTS│Residential Retail'!H150 / 1000</f>
        <v>5.2722793539733006</v>
      </c>
      <c r="I52" s="14">
        <f xml:space="preserve"> 'INPUTS│Residential Retail'!I52 * 'INPUTS│Residential Retail'!I150 / 1000</f>
        <v>5.1250327767167789</v>
      </c>
    </row>
    <row r="53" spans="2:10" x14ac:dyDescent="0.3">
      <c r="C53" s="8" t="s">
        <v>102</v>
      </c>
      <c r="D53" s="11" t="s">
        <v>127</v>
      </c>
      <c r="E53" s="14">
        <f xml:space="preserve"> 'INPUTS│Residential Retail'!E53 * 'INPUTS│Residential Retail'!E151 / 1000</f>
        <v>24.202275975636613</v>
      </c>
      <c r="F53" s="14">
        <f xml:space="preserve"> 'INPUTS│Residential Retail'!F53 * 'INPUTS│Residential Retail'!F151 / 1000</f>
        <v>24.03123701897249</v>
      </c>
      <c r="G53" s="14">
        <f xml:space="preserve"> 'INPUTS│Residential Retail'!G53 * 'INPUTS│Residential Retail'!G151 / 1000</f>
        <v>23.820057121655822</v>
      </c>
      <c r="H53" s="14">
        <f xml:space="preserve"> 'INPUTS│Residential Retail'!H53 * 'INPUTS│Residential Retail'!H151 / 1000</f>
        <v>23.50273757453559</v>
      </c>
      <c r="I53" s="14">
        <f xml:space="preserve"> 'INPUTS│Residential Retail'!I53 * 'INPUTS│Residential Retail'!I151 / 1000</f>
        <v>23.024610800272679</v>
      </c>
    </row>
    <row r="55" spans="2:10" ht="13.5" x14ac:dyDescent="0.35">
      <c r="B55" s="32" t="s">
        <v>561</v>
      </c>
      <c r="C55" s="32"/>
      <c r="D55" s="33"/>
      <c r="E55" s="32"/>
      <c r="F55" s="32"/>
      <c r="G55" s="32"/>
      <c r="H55" s="32"/>
      <c r="I55" s="32"/>
      <c r="J55" s="32"/>
    </row>
    <row r="57" spans="2:10" x14ac:dyDescent="0.3">
      <c r="C57" s="8" t="s">
        <v>80</v>
      </c>
      <c r="D57" s="11" t="s">
        <v>127</v>
      </c>
      <c r="E57" s="14">
        <f xml:space="preserve"> 'INPUTS│Residential Retail'!E57 * 'INPUTS│Residential Retail'!E155 / 1000</f>
        <v>3.1932467967483849</v>
      </c>
      <c r="F57" s="14">
        <f xml:space="preserve"> 'INPUTS│Residential Retail'!F57 * 'INPUTS│Residential Retail'!F155 / 1000</f>
        <v>3.3737652574955241</v>
      </c>
      <c r="G57" s="14">
        <f xml:space="preserve"> 'INPUTS│Residential Retail'!G57 * 'INPUTS│Residential Retail'!G155 / 1000</f>
        <v>3.5406221416748207</v>
      </c>
      <c r="H57" s="14">
        <f xml:space="preserve"> 'INPUTS│Residential Retail'!H57 * 'INPUTS│Residential Retail'!H155 / 1000</f>
        <v>3.7217381761805814</v>
      </c>
      <c r="I57" s="14">
        <f xml:space="preserve"> 'INPUTS│Residential Retail'!I57 * 'INPUTS│Residential Retail'!I155 / 1000</f>
        <v>3.8617203219535936</v>
      </c>
    </row>
    <row r="58" spans="2:10" x14ac:dyDescent="0.3">
      <c r="C58" s="8" t="s">
        <v>82</v>
      </c>
      <c r="D58" s="11" t="s">
        <v>127</v>
      </c>
      <c r="E58" s="14">
        <f xml:space="preserve"> 'INPUTS│Residential Retail'!E58 * 'INPUTS│Residential Retail'!E156 / 1000</f>
        <v>0.90045076081423547</v>
      </c>
      <c r="F58" s="14">
        <f xml:space="preserve"> 'INPUTS│Residential Retail'!F58 * 'INPUTS│Residential Retail'!F156 / 1000</f>
        <v>1.0327388475465429</v>
      </c>
      <c r="G58" s="14">
        <f xml:space="preserve"> 'INPUTS│Residential Retail'!G58 * 'INPUTS│Residential Retail'!G156 / 1000</f>
        <v>1.0132388424393115</v>
      </c>
      <c r="H58" s="14">
        <f xml:space="preserve"> 'INPUTS│Residential Retail'!H58 * 'INPUTS│Residential Retail'!H156 / 1000</f>
        <v>1.0015819003468349</v>
      </c>
      <c r="I58" s="14">
        <f xml:space="preserve"> 'INPUTS│Residential Retail'!I58 * 'INPUTS│Residential Retail'!I156 / 1000</f>
        <v>1.0260600687477512</v>
      </c>
    </row>
    <row r="59" spans="2:10" x14ac:dyDescent="0.3">
      <c r="C59" s="8" t="s">
        <v>85</v>
      </c>
      <c r="D59" s="11" t="s">
        <v>127</v>
      </c>
      <c r="E59" s="14">
        <f xml:space="preserve"> 'INPUTS│Residential Retail'!E59 * 'INPUTS│Residential Retail'!E157 / 1000</f>
        <v>1.7387498796987524</v>
      </c>
      <c r="F59" s="14">
        <f xml:space="preserve"> 'INPUTS│Residential Retail'!F59 * 'INPUTS│Residential Retail'!F157 / 1000</f>
        <v>1.8017595263160544</v>
      </c>
      <c r="G59" s="14">
        <f xml:space="preserve"> 'INPUTS│Residential Retail'!G59 * 'INPUTS│Residential Retail'!G157 / 1000</f>
        <v>1.8691825659674355</v>
      </c>
      <c r="H59" s="14">
        <f xml:space="preserve"> 'INPUTS│Residential Retail'!H59 * 'INPUTS│Residential Retail'!H157 / 1000</f>
        <v>1.167849131913119</v>
      </c>
      <c r="I59" s="14">
        <f xml:space="preserve"> 'INPUTS│Residential Retail'!I59 * 'INPUTS│Residential Retail'!I157 / 1000</f>
        <v>1.1881576</v>
      </c>
    </row>
    <row r="60" spans="2:10" x14ac:dyDescent="0.3">
      <c r="C60" s="8" t="s">
        <v>87</v>
      </c>
      <c r="D60" s="11" t="s">
        <v>127</v>
      </c>
      <c r="E60" s="14">
        <f xml:space="preserve"> 'INPUTS│Residential Retail'!E60 * 'INPUTS│Residential Retail'!E158 / 1000</f>
        <v>11.681404994262104</v>
      </c>
      <c r="F60" s="14">
        <f xml:space="preserve"> 'INPUTS│Residential Retail'!F60 * 'INPUTS│Residential Retail'!F158 / 1000</f>
        <v>12.156304917964519</v>
      </c>
      <c r="G60" s="14">
        <f xml:space="preserve"> 'INPUTS│Residential Retail'!G60 * 'INPUTS│Residential Retail'!G158 / 1000</f>
        <v>12.600907854043731</v>
      </c>
      <c r="H60" s="14">
        <f xml:space="preserve"> 'INPUTS│Residential Retail'!H60 * 'INPUTS│Residential Retail'!H158 / 1000</f>
        <v>13.00541776767211</v>
      </c>
      <c r="I60" s="14">
        <f xml:space="preserve"> 'INPUTS│Residential Retail'!I60 * 'INPUTS│Residential Retail'!I158 / 1000</f>
        <v>13.370848946351209</v>
      </c>
    </row>
    <row r="61" spans="2:10" x14ac:dyDescent="0.3">
      <c r="C61" s="8" t="s">
        <v>89</v>
      </c>
      <c r="D61" s="11" t="s">
        <v>127</v>
      </c>
      <c r="E61" s="14">
        <f xml:space="preserve"> 'INPUTS│Residential Retail'!E61 * 'INPUTS│Residential Retail'!E159 / 1000</f>
        <v>3.4454867176303416</v>
      </c>
      <c r="F61" s="14">
        <f xml:space="preserve"> 'INPUTS│Residential Retail'!F61 * 'INPUTS│Residential Retail'!F159 / 1000</f>
        <v>3.6516488129130686</v>
      </c>
      <c r="G61" s="14">
        <f xml:space="preserve"> 'INPUTS│Residential Retail'!G61 * 'INPUTS│Residential Retail'!G159 / 1000</f>
        <v>3.7621169746257777</v>
      </c>
      <c r="H61" s="14">
        <f xml:space="preserve"> 'INPUTS│Residential Retail'!H61 * 'INPUTS│Residential Retail'!H159 / 1000</f>
        <v>4.5421821499999995</v>
      </c>
      <c r="I61" s="14">
        <f xml:space="preserve"> 'INPUTS│Residential Retail'!I61 * 'INPUTS│Residential Retail'!I159 / 1000</f>
        <v>4.6657502400000004</v>
      </c>
    </row>
    <row r="62" spans="2:10" x14ac:dyDescent="0.3">
      <c r="C62" s="8" t="s">
        <v>91</v>
      </c>
      <c r="D62" s="11" t="s">
        <v>127</v>
      </c>
      <c r="E62" s="14">
        <f xml:space="preserve"> 'INPUTS│Residential Retail'!E62 * 'INPUTS│Residential Retail'!E160 / 1000</f>
        <v>4.6656108899709707</v>
      </c>
      <c r="F62" s="14">
        <f xml:space="preserve"> 'INPUTS│Residential Retail'!F62 * 'INPUTS│Residential Retail'!F160 / 1000</f>
        <v>4.8137726262264655</v>
      </c>
      <c r="G62" s="14">
        <f xml:space="preserve"> 'INPUTS│Residential Retail'!G62 * 'INPUTS│Residential Retail'!G160 / 1000</f>
        <v>5.0105598932469073</v>
      </c>
      <c r="H62" s="14">
        <f xml:space="preserve"> 'INPUTS│Residential Retail'!H62 * 'INPUTS│Residential Retail'!H160 / 1000</f>
        <v>5.0052425759186141</v>
      </c>
      <c r="I62" s="14">
        <f xml:space="preserve"> 'INPUTS│Residential Retail'!I62 * 'INPUTS│Residential Retail'!I160 / 1000</f>
        <v>5.1155130026953604</v>
      </c>
    </row>
    <row r="63" spans="2:10" x14ac:dyDescent="0.3">
      <c r="C63" s="8" t="s">
        <v>94</v>
      </c>
      <c r="D63" s="11" t="s">
        <v>127</v>
      </c>
      <c r="E63" s="14">
        <f xml:space="preserve"> 'INPUTS│Residential Retail'!E63 * 'INPUTS│Residential Retail'!E161 / 1000</f>
        <v>1.8968858440152205</v>
      </c>
      <c r="F63" s="14">
        <f xml:space="preserve"> 'INPUTS│Residential Retail'!F63 * 'INPUTS│Residential Retail'!F161 / 1000</f>
        <v>1.9719738247204806</v>
      </c>
      <c r="G63" s="14">
        <f xml:space="preserve"> 'INPUTS│Residential Retail'!G63 * 'INPUTS│Residential Retail'!G161 / 1000</f>
        <v>1.8637304143013027</v>
      </c>
      <c r="H63" s="14">
        <f xml:space="preserve"> 'INPUTS│Residential Retail'!H63 * 'INPUTS│Residential Retail'!H161 / 1000</f>
        <v>1.8293417360645849</v>
      </c>
      <c r="I63" s="14">
        <f xml:space="preserve"> 'INPUTS│Residential Retail'!I63 * 'INPUTS│Residential Retail'!I161 / 1000</f>
        <v>1.9242982285621126</v>
      </c>
    </row>
    <row r="64" spans="2:10" x14ac:dyDescent="0.3">
      <c r="C64" s="8" t="s">
        <v>96</v>
      </c>
      <c r="D64" s="11" t="s">
        <v>127</v>
      </c>
      <c r="E64" s="14">
        <f xml:space="preserve"> 'INPUTS│Residential Retail'!E64 * 'INPUTS│Residential Retail'!E162 / 1000</f>
        <v>0.6623829950020973</v>
      </c>
      <c r="F64" s="14">
        <f xml:space="preserve"> 'INPUTS│Residential Retail'!F64 * 'INPUTS│Residential Retail'!F162 / 1000</f>
        <v>0.66945416355490794</v>
      </c>
      <c r="G64" s="14">
        <f xml:space="preserve"> 'INPUTS│Residential Retail'!G64 * 'INPUTS│Residential Retail'!G162 / 1000</f>
        <v>0.68039879046896146</v>
      </c>
      <c r="H64" s="14">
        <f xml:space="preserve"> 'INPUTS│Residential Retail'!H64 * 'INPUTS│Residential Retail'!H162 / 1000</f>
        <v>0.68809493610409644</v>
      </c>
      <c r="I64" s="14">
        <f xml:space="preserve"> 'INPUTS│Residential Retail'!I64 * 'INPUTS│Residential Retail'!I162 / 1000</f>
        <v>0.80016893999999994</v>
      </c>
    </row>
    <row r="65" spans="2:10" x14ac:dyDescent="0.3">
      <c r="C65" s="8" t="s">
        <v>98</v>
      </c>
      <c r="D65" s="11" t="s">
        <v>127</v>
      </c>
      <c r="E65" s="14">
        <f xml:space="preserve"> 'INPUTS│Residential Retail'!E65 * 'INPUTS│Residential Retail'!E163 / 1000</f>
        <v>0.98109984081966395</v>
      </c>
      <c r="F65" s="14">
        <f xml:space="preserve"> 'INPUTS│Residential Retail'!F65 * 'INPUTS│Residential Retail'!F163 / 1000</f>
        <v>0.98008042672940965</v>
      </c>
      <c r="G65" s="14">
        <f xml:space="preserve"> 'INPUTS│Residential Retail'!G65 * 'INPUTS│Residential Retail'!G163 / 1000</f>
        <v>0.98268449502936295</v>
      </c>
      <c r="H65" s="14">
        <f xml:space="preserve"> 'INPUTS│Residential Retail'!H65 * 'INPUTS│Residential Retail'!H163 / 1000</f>
        <v>0.95950505374524009</v>
      </c>
      <c r="I65" s="14">
        <f xml:space="preserve"> 'INPUTS│Residential Retail'!I65 * 'INPUTS│Residential Retail'!I163 / 1000</f>
        <v>0.99829906012968372</v>
      </c>
    </row>
    <row r="66" spans="2:10" x14ac:dyDescent="0.3">
      <c r="C66" s="8" t="s">
        <v>100</v>
      </c>
      <c r="D66" s="11" t="s">
        <v>127</v>
      </c>
      <c r="E66" s="14">
        <f xml:space="preserve"> 'INPUTS│Residential Retail'!E66 * 'INPUTS│Residential Retail'!E164 / 1000</f>
        <v>0.49875933203007133</v>
      </c>
      <c r="F66" s="14">
        <f xml:space="preserve"> 'INPUTS│Residential Retail'!F66 * 'INPUTS│Residential Retail'!F164 / 1000</f>
        <v>0.52693252537406388</v>
      </c>
      <c r="G66" s="14">
        <f xml:space="preserve"> 'INPUTS│Residential Retail'!G66 * 'INPUTS│Residential Retail'!G164 / 1000</f>
        <v>0.56675100962957536</v>
      </c>
      <c r="H66" s="14">
        <f xml:space="preserve"> 'INPUTS│Residential Retail'!H66 * 'INPUTS│Residential Retail'!H164 / 1000</f>
        <v>0.60162859464192164</v>
      </c>
      <c r="I66" s="14">
        <f xml:space="preserve"> 'INPUTS│Residential Retail'!I66 * 'INPUTS│Residential Retail'!I164 / 1000</f>
        <v>0.63358683795493842</v>
      </c>
    </row>
    <row r="67" spans="2:10" x14ac:dyDescent="0.3">
      <c r="C67" s="8" t="s">
        <v>102</v>
      </c>
      <c r="D67" s="11" t="s">
        <v>127</v>
      </c>
      <c r="E67" s="14">
        <f xml:space="preserve"> 'INPUTS│Residential Retail'!E67 * 'INPUTS│Residential Retail'!E165 / 1000</f>
        <v>1.1364248715436702</v>
      </c>
      <c r="F67" s="14">
        <f xml:space="preserve"> 'INPUTS│Residential Retail'!F67 * 'INPUTS│Residential Retail'!F165 / 1000</f>
        <v>1.23914686746773</v>
      </c>
      <c r="G67" s="14">
        <f xml:space="preserve"> 'INPUTS│Residential Retail'!G67 * 'INPUTS│Residential Retail'!G165 / 1000</f>
        <v>1.2978803124579699</v>
      </c>
      <c r="H67" s="14">
        <f xml:space="preserve"> 'INPUTS│Residential Retail'!H67 * 'INPUTS│Residential Retail'!H165 / 1000</f>
        <v>1.3936761246853648</v>
      </c>
      <c r="I67" s="14">
        <f xml:space="preserve"> 'INPUTS│Residential Retail'!I67 * 'INPUTS│Residential Retail'!I165 / 1000</f>
        <v>1.4763715851497388</v>
      </c>
    </row>
    <row r="68" spans="2:10" x14ac:dyDescent="0.3">
      <c r="C68" s="8" t="s">
        <v>104</v>
      </c>
      <c r="D68" s="11" t="s">
        <v>127</v>
      </c>
      <c r="E68" s="14">
        <f xml:space="preserve"> 'INPUTS│Residential Retail'!E68 * 'INPUTS│Residential Retail'!E166 / 1000</f>
        <v>16.979797244689685</v>
      </c>
      <c r="F68" s="14">
        <f xml:space="preserve"> 'INPUTS│Residential Retail'!F68 * 'INPUTS│Residential Retail'!F166 / 1000</f>
        <v>17.026764313112722</v>
      </c>
      <c r="G68" s="14">
        <f xml:space="preserve"> 'INPUTS│Residential Retail'!G68 * 'INPUTS│Residential Retail'!G166 / 1000</f>
        <v>17.103144753708666</v>
      </c>
      <c r="H68" s="14">
        <f xml:space="preserve"> 'INPUTS│Residential Retail'!H68 * 'INPUTS│Residential Retail'!H166 / 1000</f>
        <v>17.426089626278472</v>
      </c>
      <c r="I68" s="14">
        <f xml:space="preserve"> 'INPUTS│Residential Retail'!I68 * 'INPUTS│Residential Retail'!I166 / 1000</f>
        <v>18.614247063087838</v>
      </c>
    </row>
    <row r="69" spans="2:10" x14ac:dyDescent="0.3">
      <c r="C69" s="8" t="s">
        <v>106</v>
      </c>
      <c r="D69" s="11" t="s">
        <v>127</v>
      </c>
      <c r="E69" s="14">
        <f xml:space="preserve"> 'INPUTS│Residential Retail'!E69 * 'INPUTS│Residential Retail'!E167 / 1000</f>
        <v>5.7340919520041709</v>
      </c>
      <c r="F69" s="14">
        <f xml:space="preserve"> 'INPUTS│Residential Retail'!F69 * 'INPUTS│Residential Retail'!F167 / 1000</f>
        <v>6.0160900997175695</v>
      </c>
      <c r="G69" s="14">
        <f xml:space="preserve"> 'INPUTS│Residential Retail'!G69 * 'INPUTS│Residential Retail'!G167 / 1000</f>
        <v>6.4750522391910277</v>
      </c>
      <c r="H69" s="14">
        <f xml:space="preserve"> 'INPUTS│Residential Retail'!H69 * 'INPUTS│Residential Retail'!H167 / 1000</f>
        <v>7.0489752262423027</v>
      </c>
      <c r="I69" s="14">
        <f xml:space="preserve"> 'INPUTS│Residential Retail'!I69 * 'INPUTS│Residential Retail'!I167 / 1000</f>
        <v>7.7177245246717252</v>
      </c>
    </row>
    <row r="70" spans="2:10" x14ac:dyDescent="0.3">
      <c r="C70" s="8" t="s">
        <v>108</v>
      </c>
      <c r="D70" s="11" t="s">
        <v>127</v>
      </c>
      <c r="E70" s="14">
        <f xml:space="preserve"> 'INPUTS│Residential Retail'!E70 * 'INPUTS│Residential Retail'!E168 / 1000</f>
        <v>1.4917467603307593</v>
      </c>
      <c r="F70" s="14">
        <f xml:space="preserve"> 'INPUTS│Residential Retail'!F70 * 'INPUTS│Residential Retail'!F168 / 1000</f>
        <v>1.6075557857616425</v>
      </c>
      <c r="G70" s="14">
        <f xml:space="preserve"> 'INPUTS│Residential Retail'!G70 * 'INPUTS│Residential Retail'!G168 / 1000</f>
        <v>1.7093412853159993</v>
      </c>
      <c r="H70" s="14">
        <f xml:space="preserve"> 'INPUTS│Residential Retail'!H70 * 'INPUTS│Residential Retail'!H168 / 1000</f>
        <v>1.7835834722812125</v>
      </c>
      <c r="I70" s="14">
        <f xml:space="preserve"> 'INPUTS│Residential Retail'!I70 * 'INPUTS│Residential Retail'!I168 / 1000</f>
        <v>1.8526612660914645</v>
      </c>
    </row>
    <row r="71" spans="2:10" x14ac:dyDescent="0.3">
      <c r="C71" s="8" t="s">
        <v>112</v>
      </c>
      <c r="D71" s="11" t="s">
        <v>127</v>
      </c>
      <c r="E71" s="14">
        <f xml:space="preserve"> 'INPUTS│Residential Retail'!E71 * 'INPUTS│Residential Retail'!E169 / 1000</f>
        <v>16.078153402734539</v>
      </c>
      <c r="F71" s="14">
        <f xml:space="preserve"> 'INPUTS│Residential Retail'!F71 * 'INPUTS│Residential Retail'!F169 / 1000</f>
        <v>17.493920922261331</v>
      </c>
      <c r="G71" s="14">
        <f xml:space="preserve"> 'INPUTS│Residential Retail'!G71 * 'INPUTS│Residential Retail'!G169 / 1000</f>
        <v>18.892829329489928</v>
      </c>
      <c r="H71" s="14">
        <f xml:space="preserve"> 'INPUTS│Residential Retail'!H71 * 'INPUTS│Residential Retail'!H169 / 1000</f>
        <v>19.99723286082169</v>
      </c>
      <c r="I71" s="14">
        <f xml:space="preserve"> 'INPUTS│Residential Retail'!I71 * 'INPUTS│Residential Retail'!I169 / 1000</f>
        <v>20.88014332146361</v>
      </c>
    </row>
    <row r="72" spans="2:10" x14ac:dyDescent="0.3">
      <c r="C72" s="8" t="s">
        <v>114</v>
      </c>
      <c r="D72" s="11" t="s">
        <v>127</v>
      </c>
      <c r="E72" s="14">
        <f xml:space="preserve"> 'INPUTS│Residential Retail'!E72 * 'INPUTS│Residential Retail'!E170 / 1000</f>
        <v>7.1561859309538383</v>
      </c>
      <c r="F72" s="14">
        <f xml:space="preserve"> 'INPUTS│Residential Retail'!F72 * 'INPUTS│Residential Retail'!F170 / 1000</f>
        <v>7.5017084038272666</v>
      </c>
      <c r="G72" s="14">
        <f xml:space="preserve"> 'INPUTS│Residential Retail'!G72 * 'INPUTS│Residential Retail'!G170 / 1000</f>
        <v>7.8065604893330791</v>
      </c>
      <c r="H72" s="14">
        <f xml:space="preserve"> 'INPUTS│Residential Retail'!H72 * 'INPUTS│Residential Retail'!H170 / 1000</f>
        <v>8.5210658106653572</v>
      </c>
      <c r="I72" s="14">
        <f xml:space="preserve"> 'INPUTS│Residential Retail'!I72 * 'INPUTS│Residential Retail'!I170 / 1000</f>
        <v>8.9650059285943389</v>
      </c>
    </row>
    <row r="73" spans="2:10" x14ac:dyDescent="0.3">
      <c r="C73" s="8" t="s">
        <v>110</v>
      </c>
      <c r="D73" s="11" t="s">
        <v>127</v>
      </c>
      <c r="E73" s="14">
        <f xml:space="preserve"> 'INPUTS│Residential Retail'!E73 * 'INPUTS│Residential Retail'!E171 / 1000</f>
        <v>3.3160149409439583</v>
      </c>
      <c r="F73" s="14">
        <f xml:space="preserve"> 'INPUTS│Residential Retail'!F73 * 'INPUTS│Residential Retail'!F171 / 1000</f>
        <v>3.4690436639306079</v>
      </c>
      <c r="G73" s="14">
        <f xml:space="preserve"> 'INPUTS│Residential Retail'!G73 * 'INPUTS│Residential Retail'!G171 / 1000</f>
        <v>3.7008711338919111</v>
      </c>
      <c r="H73" s="14">
        <f xml:space="preserve"> 'INPUTS│Residential Retail'!H73 * 'INPUTS│Residential Retail'!H171 / 1000</f>
        <v>3.8162023508975027</v>
      </c>
      <c r="I73" s="14">
        <f xml:space="preserve"> 'INPUTS│Residential Retail'!I73 * 'INPUTS│Residential Retail'!I171 / 1000</f>
        <v>4.0402695913515965</v>
      </c>
    </row>
    <row r="75" spans="2:10" ht="13.5" x14ac:dyDescent="0.35">
      <c r="B75" s="32" t="s">
        <v>562</v>
      </c>
      <c r="C75" s="32"/>
      <c r="D75" s="33"/>
      <c r="E75" s="32"/>
      <c r="F75" s="32"/>
      <c r="G75" s="32"/>
      <c r="H75" s="32"/>
      <c r="I75" s="32"/>
      <c r="J75" s="32"/>
    </row>
    <row r="77" spans="2:10" x14ac:dyDescent="0.3">
      <c r="C77" s="8" t="s">
        <v>80</v>
      </c>
      <c r="D77" s="11" t="s">
        <v>127</v>
      </c>
      <c r="E77" s="14">
        <f xml:space="preserve"> 'INPUTS│Residential Retail'!E77 * 'INPUTS│Residential Retail'!E175 / 1000</f>
        <v>13.640339616689085</v>
      </c>
      <c r="F77" s="14">
        <f xml:space="preserve"> 'INPUTS│Residential Retail'!F77 * 'INPUTS│Residential Retail'!F175 / 1000</f>
        <v>14.400966435255222</v>
      </c>
      <c r="G77" s="14">
        <f xml:space="preserve"> 'INPUTS│Residential Retail'!G77 * 'INPUTS│Residential Retail'!G175 / 1000</f>
        <v>14.962832554593819</v>
      </c>
      <c r="H77" s="14">
        <f xml:space="preserve"> 'INPUTS│Residential Retail'!H77 * 'INPUTS│Residential Retail'!H175 / 1000</f>
        <v>15.426668081888639</v>
      </c>
      <c r="I77" s="14">
        <f xml:space="preserve"> 'INPUTS│Residential Retail'!I77 * 'INPUTS│Residential Retail'!I175 / 1000</f>
        <v>15.955857668260665</v>
      </c>
    </row>
    <row r="78" spans="2:10" x14ac:dyDescent="0.3">
      <c r="C78" s="8" t="s">
        <v>82</v>
      </c>
      <c r="D78" s="11" t="s">
        <v>127</v>
      </c>
      <c r="E78" s="14">
        <f xml:space="preserve"> 'INPUTS│Residential Retail'!E78 * 'INPUTS│Residential Retail'!E176 / 1000</f>
        <v>2.9215597810622733</v>
      </c>
      <c r="F78" s="14">
        <f xml:space="preserve"> 'INPUTS│Residential Retail'!F78 * 'INPUTS│Residential Retail'!F176 / 1000</f>
        <v>2.8597638484282366</v>
      </c>
      <c r="G78" s="14">
        <f xml:space="preserve"> 'INPUTS│Residential Retail'!G78 * 'INPUTS│Residential Retail'!G176 / 1000</f>
        <v>2.8343715060993726</v>
      </c>
      <c r="H78" s="14">
        <f xml:space="preserve"> 'INPUTS│Residential Retail'!H78 * 'INPUTS│Residential Retail'!H176 / 1000</f>
        <v>2.6973111122045346</v>
      </c>
      <c r="I78" s="14">
        <f xml:space="preserve"> 'INPUTS│Residential Retail'!I78 * 'INPUTS│Residential Retail'!I176 / 1000</f>
        <v>2.5720949199282006</v>
      </c>
    </row>
    <row r="79" spans="2:10" x14ac:dyDescent="0.3">
      <c r="C79" s="8" t="s">
        <v>85</v>
      </c>
      <c r="D79" s="11" t="s">
        <v>127</v>
      </c>
      <c r="E79" s="14">
        <f xml:space="preserve"> 'INPUTS│Residential Retail'!E79 * 'INPUTS│Residential Retail'!E177 / 1000</f>
        <v>0</v>
      </c>
      <c r="F79" s="14">
        <f xml:space="preserve"> 'INPUTS│Residential Retail'!F79 * 'INPUTS│Residential Retail'!F177 / 1000</f>
        <v>0</v>
      </c>
      <c r="G79" s="14">
        <f xml:space="preserve"> 'INPUTS│Residential Retail'!G79 * 'INPUTS│Residential Retail'!G177 / 1000</f>
        <v>0</v>
      </c>
      <c r="H79" s="14">
        <f xml:space="preserve"> 'INPUTS│Residential Retail'!H79 * 'INPUTS│Residential Retail'!H177 / 1000</f>
        <v>3.3953918244694695E-2</v>
      </c>
      <c r="I79" s="14">
        <f xml:space="preserve"> 'INPUTS│Residential Retail'!I79 * 'INPUTS│Residential Retail'!I177 / 1000</f>
        <v>3.3887462714711325E-2</v>
      </c>
    </row>
    <row r="80" spans="2:10" x14ac:dyDescent="0.3">
      <c r="C80" s="8" t="s">
        <v>87</v>
      </c>
      <c r="D80" s="11" t="s">
        <v>127</v>
      </c>
      <c r="E80" s="14">
        <f xml:space="preserve"> 'INPUTS│Residential Retail'!E80 * 'INPUTS│Residential Retail'!E178 / 1000</f>
        <v>0.86813710619554341</v>
      </c>
      <c r="F80" s="14">
        <f xml:space="preserve"> 'INPUTS│Residential Retail'!F80 * 'INPUTS│Residential Retail'!F178 / 1000</f>
        <v>0.89805040753400067</v>
      </c>
      <c r="G80" s="14">
        <f xml:space="preserve"> 'INPUTS│Residential Retail'!G80 * 'INPUTS│Residential Retail'!G178 / 1000</f>
        <v>0.92427918661667174</v>
      </c>
      <c r="H80" s="14">
        <f xml:space="preserve"> 'INPUTS│Residential Retail'!H80 * 'INPUTS│Residential Retail'!H178 / 1000</f>
        <v>0.95112550059189205</v>
      </c>
      <c r="I80" s="14">
        <f xml:space="preserve"> 'INPUTS│Residential Retail'!I80 * 'INPUTS│Residential Retail'!I178 / 1000</f>
        <v>1.0620890264330913</v>
      </c>
    </row>
    <row r="81" spans="2:10" x14ac:dyDescent="0.3">
      <c r="C81" s="8" t="s">
        <v>89</v>
      </c>
      <c r="D81" s="11" t="s">
        <v>127</v>
      </c>
      <c r="E81" s="14">
        <f xml:space="preserve"> 'INPUTS│Residential Retail'!E81 * 'INPUTS│Residential Retail'!E179 / 1000</f>
        <v>5.6821309636177428</v>
      </c>
      <c r="F81" s="14">
        <f xml:space="preserve"> 'INPUTS│Residential Retail'!F81 * 'INPUTS│Residential Retail'!F179 / 1000</f>
        <v>6.3060290290818442</v>
      </c>
      <c r="G81" s="14">
        <f xml:space="preserve"> 'INPUTS│Residential Retail'!G81 * 'INPUTS│Residential Retail'!G179 / 1000</f>
        <v>6.5990015238151898</v>
      </c>
      <c r="H81" s="14">
        <f xml:space="preserve"> 'INPUTS│Residential Retail'!H81 * 'INPUTS│Residential Retail'!H179 / 1000</f>
        <v>7.0518285104437837</v>
      </c>
      <c r="I81" s="14">
        <f xml:space="preserve"> 'INPUTS│Residential Retail'!I81 * 'INPUTS│Residential Retail'!I179 / 1000</f>
        <v>7.4208442006744617</v>
      </c>
    </row>
    <row r="82" spans="2:10" x14ac:dyDescent="0.3">
      <c r="C82" s="8" t="s">
        <v>91</v>
      </c>
      <c r="D82" s="11" t="s">
        <v>127</v>
      </c>
      <c r="E82" s="14">
        <f xml:space="preserve"> 'INPUTS│Residential Retail'!E82 * 'INPUTS│Residential Retail'!E180 / 1000</f>
        <v>7.5722771510620263E-2</v>
      </c>
      <c r="F82" s="14">
        <f xml:space="preserve"> 'INPUTS│Residential Retail'!F82 * 'INPUTS│Residential Retail'!F180 / 1000</f>
        <v>8.0073751785489117E-2</v>
      </c>
      <c r="G82" s="14">
        <f xml:space="preserve"> 'INPUTS│Residential Retail'!G82 * 'INPUTS│Residential Retail'!G180 / 1000</f>
        <v>8.388248058102947E-2</v>
      </c>
      <c r="H82" s="14">
        <f xml:space="preserve"> 'INPUTS│Residential Retail'!H82 * 'INPUTS│Residential Retail'!H180 / 1000</f>
        <v>8.5269874868518475E-2</v>
      </c>
      <c r="I82" s="14">
        <f xml:space="preserve"> 'INPUTS│Residential Retail'!I82 * 'INPUTS│Residential Retail'!I180 / 1000</f>
        <v>8.7876562293652635E-2</v>
      </c>
    </row>
    <row r="83" spans="2:10" x14ac:dyDescent="0.3">
      <c r="C83" s="8" t="s">
        <v>94</v>
      </c>
      <c r="D83" s="11" t="s">
        <v>127</v>
      </c>
      <c r="E83" s="14">
        <f xml:space="preserve"> 'INPUTS│Residential Retail'!E83 * 'INPUTS│Residential Retail'!E181 / 1000</f>
        <v>16.834774709045188</v>
      </c>
      <c r="F83" s="14">
        <f xml:space="preserve"> 'INPUTS│Residential Retail'!F83 * 'INPUTS│Residential Retail'!F181 / 1000</f>
        <v>17.335150490984493</v>
      </c>
      <c r="G83" s="14">
        <f xml:space="preserve"> 'INPUTS│Residential Retail'!G83 * 'INPUTS│Residential Retail'!G181 / 1000</f>
        <v>17.074239842860486</v>
      </c>
      <c r="H83" s="14">
        <f xml:space="preserve"> 'INPUTS│Residential Retail'!H83 * 'INPUTS│Residential Retail'!H181 / 1000</f>
        <v>16.515105954673182</v>
      </c>
      <c r="I83" s="14">
        <f xml:space="preserve"> 'INPUTS│Residential Retail'!I83 * 'INPUTS│Residential Retail'!I181 / 1000</f>
        <v>17.346068540318811</v>
      </c>
    </row>
    <row r="84" spans="2:10" x14ac:dyDescent="0.3">
      <c r="C84" s="8" t="s">
        <v>96</v>
      </c>
      <c r="D84" s="11" t="s">
        <v>127</v>
      </c>
      <c r="E84" s="14">
        <f xml:space="preserve"> 'INPUTS│Residential Retail'!E84 * 'INPUTS│Residential Retail'!E182 / 1000</f>
        <v>26.750004501554677</v>
      </c>
      <c r="F84" s="14">
        <f xml:space="preserve"> 'INPUTS│Residential Retail'!F84 * 'INPUTS│Residential Retail'!F182 / 1000</f>
        <v>28.436977171189326</v>
      </c>
      <c r="G84" s="14">
        <f xml:space="preserve"> 'INPUTS│Residential Retail'!G84 * 'INPUTS│Residential Retail'!G182 / 1000</f>
        <v>30.238993523496983</v>
      </c>
      <c r="H84" s="14">
        <f xml:space="preserve"> 'INPUTS│Residential Retail'!H84 * 'INPUTS│Residential Retail'!H182 / 1000</f>
        <v>31.764007255496953</v>
      </c>
      <c r="I84" s="14">
        <f xml:space="preserve"> 'INPUTS│Residential Retail'!I84 * 'INPUTS│Residential Retail'!I182 / 1000</f>
        <v>33.818838419999999</v>
      </c>
    </row>
    <row r="85" spans="2:10" x14ac:dyDescent="0.3">
      <c r="C85" s="8" t="s">
        <v>98</v>
      </c>
      <c r="D85" s="11" t="s">
        <v>127</v>
      </c>
      <c r="E85" s="14">
        <f xml:space="preserve"> 'INPUTS│Residential Retail'!E85 * 'INPUTS│Residential Retail'!E183 / 1000</f>
        <v>0.6215965990503578</v>
      </c>
      <c r="F85" s="14">
        <f xml:space="preserve"> 'INPUTS│Residential Retail'!F85 * 'INPUTS│Residential Retail'!F183 / 1000</f>
        <v>1.5816973791254982</v>
      </c>
      <c r="G85" s="14">
        <f xml:space="preserve"> 'INPUTS│Residential Retail'!G85 * 'INPUTS│Residential Retail'!G183 / 1000</f>
        <v>1.6855095974220093</v>
      </c>
      <c r="H85" s="14">
        <f xml:space="preserve"> 'INPUTS│Residential Retail'!H85 * 'INPUTS│Residential Retail'!H183 / 1000</f>
        <v>1.6492390390186698</v>
      </c>
      <c r="I85" s="14">
        <f xml:space="preserve"> 'INPUTS│Residential Retail'!I85 * 'INPUTS│Residential Retail'!I183 / 1000</f>
        <v>1.7250148854849201</v>
      </c>
    </row>
    <row r="86" spans="2:10" x14ac:dyDescent="0.3">
      <c r="C86" s="8" t="s">
        <v>100</v>
      </c>
      <c r="D86" s="11" t="s">
        <v>127</v>
      </c>
      <c r="E86" s="14">
        <f xml:space="preserve"> 'INPUTS│Residential Retail'!E86 * 'INPUTS│Residential Retail'!E184 / 1000</f>
        <v>8.9345635360353857</v>
      </c>
      <c r="F86" s="14">
        <f xml:space="preserve"> 'INPUTS│Residential Retail'!F86 * 'INPUTS│Residential Retail'!F184 / 1000</f>
        <v>9.3745130918493871</v>
      </c>
      <c r="G86" s="14">
        <f xml:space="preserve"> 'INPUTS│Residential Retail'!G86 * 'INPUTS│Residential Retail'!G184 / 1000</f>
        <v>9.9810017389321857</v>
      </c>
      <c r="H86" s="14">
        <f xml:space="preserve"> 'INPUTS│Residential Retail'!H86 * 'INPUTS│Residential Retail'!H184 / 1000</f>
        <v>10.700651026472743</v>
      </c>
      <c r="I86" s="14">
        <f xml:space="preserve"> 'INPUTS│Residential Retail'!I86 * 'INPUTS│Residential Retail'!I184 / 1000</f>
        <v>11.472833797448201</v>
      </c>
    </row>
    <row r="87" spans="2:10" x14ac:dyDescent="0.3">
      <c r="C87" s="8" t="s">
        <v>102</v>
      </c>
      <c r="D87" s="11" t="s">
        <v>127</v>
      </c>
      <c r="E87" s="14">
        <f xml:space="preserve"> 'INPUTS│Residential Retail'!E87 * 'INPUTS│Residential Retail'!E185 / 1000</f>
        <v>1.1966989833948081</v>
      </c>
      <c r="F87" s="14">
        <f xml:space="preserve"> 'INPUTS│Residential Retail'!F87 * 'INPUTS│Residential Retail'!F185 / 1000</f>
        <v>1.2602025594704205</v>
      </c>
      <c r="G87" s="14">
        <f xml:space="preserve"> 'INPUTS│Residential Retail'!G87 * 'INPUTS│Residential Retail'!G185 / 1000</f>
        <v>1.2512431399261337</v>
      </c>
      <c r="H87" s="14">
        <f xml:space="preserve"> 'INPUTS│Residential Retail'!H87 * 'INPUTS│Residential Retail'!H185 / 1000</f>
        <v>1.3355829890338693</v>
      </c>
      <c r="I87" s="14">
        <f xml:space="preserve"> 'INPUTS│Residential Retail'!I87 * 'INPUTS│Residential Retail'!I185 / 1000</f>
        <v>1.4960424743537353</v>
      </c>
    </row>
    <row r="89" spans="2:10" ht="13.5" x14ac:dyDescent="0.35">
      <c r="B89" s="32" t="s">
        <v>563</v>
      </c>
      <c r="C89" s="32"/>
      <c r="D89" s="33"/>
      <c r="E89" s="32"/>
      <c r="F89" s="32"/>
      <c r="G89" s="32"/>
      <c r="H89" s="32"/>
      <c r="I89" s="32"/>
      <c r="J89" s="32"/>
    </row>
    <row r="91" spans="2:10" x14ac:dyDescent="0.3">
      <c r="C91" s="8" t="s">
        <v>80</v>
      </c>
      <c r="D91" s="11" t="s">
        <v>127</v>
      </c>
      <c r="E91" s="14">
        <f xml:space="preserve"> 'INPUTS│Residential Retail'!E91 * 'INPUTS│Residential Retail'!E189 / 1000</f>
        <v>45.331464878920151</v>
      </c>
      <c r="F91" s="14">
        <f xml:space="preserve"> 'INPUTS│Residential Retail'!F91 * 'INPUTS│Residential Retail'!F189 / 1000</f>
        <v>47.892597512859503</v>
      </c>
      <c r="G91" s="14">
        <f xml:space="preserve"> 'INPUTS│Residential Retail'!G91 * 'INPUTS│Residential Retail'!G189 / 1000</f>
        <v>49.791547599907815</v>
      </c>
      <c r="H91" s="14">
        <f xml:space="preserve"> 'INPUTS│Residential Retail'!H91 * 'INPUTS│Residential Retail'!H189 / 1000</f>
        <v>51.764970387821919</v>
      </c>
      <c r="I91" s="14">
        <f xml:space="preserve"> 'INPUTS│Residential Retail'!I91 * 'INPUTS│Residential Retail'!I189 / 1000</f>
        <v>53.47147885615508</v>
      </c>
    </row>
    <row r="92" spans="2:10" x14ac:dyDescent="0.3">
      <c r="C92" s="8" t="s">
        <v>82</v>
      </c>
      <c r="D92" s="11" t="s">
        <v>127</v>
      </c>
      <c r="E92" s="14">
        <f xml:space="preserve"> 'INPUTS│Residential Retail'!E92 * 'INPUTS│Residential Retail'!E190 / 1000</f>
        <v>21.967533384759903</v>
      </c>
      <c r="F92" s="14">
        <f xml:space="preserve"> 'INPUTS│Residential Retail'!F92 * 'INPUTS│Residential Retail'!F190 / 1000</f>
        <v>22.470772299906926</v>
      </c>
      <c r="G92" s="14">
        <f xml:space="preserve"> 'INPUTS│Residential Retail'!G92 * 'INPUTS│Residential Retail'!G190 / 1000</f>
        <v>22.734860019168341</v>
      </c>
      <c r="H92" s="14">
        <f xml:space="preserve"> 'INPUTS│Residential Retail'!H92 * 'INPUTS│Residential Retail'!H190 / 1000</f>
        <v>22.759302298953603</v>
      </c>
      <c r="I92" s="14">
        <f xml:space="preserve"> 'INPUTS│Residential Retail'!I92 * 'INPUTS│Residential Retail'!I190 / 1000</f>
        <v>23.568103991501889</v>
      </c>
    </row>
    <row r="93" spans="2:10" x14ac:dyDescent="0.3">
      <c r="C93" s="8" t="s">
        <v>85</v>
      </c>
      <c r="D93" s="11" t="s">
        <v>127</v>
      </c>
      <c r="E93" s="14">
        <f xml:space="preserve"> 'INPUTS│Residential Retail'!E93 * 'INPUTS│Residential Retail'!E191 / 1000</f>
        <v>0</v>
      </c>
      <c r="F93" s="14">
        <f xml:space="preserve"> 'INPUTS│Residential Retail'!F93 * 'INPUTS│Residential Retail'!F191 / 1000</f>
        <v>0</v>
      </c>
      <c r="G93" s="14">
        <f xml:space="preserve"> 'INPUTS│Residential Retail'!G93 * 'INPUTS│Residential Retail'!G191 / 1000</f>
        <v>0</v>
      </c>
      <c r="H93" s="14">
        <f xml:space="preserve"> 'INPUTS│Residential Retail'!H93 * 'INPUTS│Residential Retail'!H191 / 1000</f>
        <v>0.27432392301592468</v>
      </c>
      <c r="I93" s="14">
        <f xml:space="preserve"> 'INPUTS│Residential Retail'!I93 * 'INPUTS│Residential Retail'!I191 / 1000</f>
        <v>0.27990421608159943</v>
      </c>
    </row>
    <row r="94" spans="2:10" x14ac:dyDescent="0.3">
      <c r="C94" s="8" t="s">
        <v>87</v>
      </c>
      <c r="D94" s="11" t="s">
        <v>127</v>
      </c>
      <c r="E94" s="14">
        <f xml:space="preserve"> 'INPUTS│Residential Retail'!E94 * 'INPUTS│Residential Retail'!E192 / 1000</f>
        <v>12.920617467964187</v>
      </c>
      <c r="F94" s="14">
        <f xml:space="preserve"> 'INPUTS│Residential Retail'!F94 * 'INPUTS│Residential Retail'!F192 / 1000</f>
        <v>13.836794408717228</v>
      </c>
      <c r="G94" s="14">
        <f xml:space="preserve"> 'INPUTS│Residential Retail'!G94 * 'INPUTS│Residential Retail'!G192 / 1000</f>
        <v>14.808334525533049</v>
      </c>
      <c r="H94" s="14">
        <f xml:space="preserve"> 'INPUTS│Residential Retail'!H94 * 'INPUTS│Residential Retail'!H192 / 1000</f>
        <v>15.832127077616892</v>
      </c>
      <c r="I94" s="14">
        <f xml:space="preserve"> 'INPUTS│Residential Retail'!I94 * 'INPUTS│Residential Retail'!I192 / 1000</f>
        <v>16.770891651373791</v>
      </c>
    </row>
    <row r="95" spans="2:10" x14ac:dyDescent="0.3">
      <c r="C95" s="8" t="s">
        <v>89</v>
      </c>
      <c r="D95" s="11" t="s">
        <v>127</v>
      </c>
      <c r="E95" s="14">
        <f xml:space="preserve"> 'INPUTS│Residential Retail'!E95 * 'INPUTS│Residential Retail'!E193 / 1000</f>
        <v>46.546533222516537</v>
      </c>
      <c r="F95" s="14">
        <f xml:space="preserve"> 'INPUTS│Residential Retail'!F95 * 'INPUTS│Residential Retail'!F193 / 1000</f>
        <v>47.225628655970169</v>
      </c>
      <c r="G95" s="14">
        <f xml:space="preserve"> 'INPUTS│Residential Retail'!G95 * 'INPUTS│Residential Retail'!G193 / 1000</f>
        <v>50.016061936592081</v>
      </c>
      <c r="H95" s="14">
        <f xml:space="preserve"> 'INPUTS│Residential Retail'!H95 * 'INPUTS│Residential Retail'!H193 / 1000</f>
        <v>51.065222084331275</v>
      </c>
      <c r="I95" s="14">
        <f xml:space="preserve"> 'INPUTS│Residential Retail'!I95 * 'INPUTS│Residential Retail'!I193 / 1000</f>
        <v>52.96997654898292</v>
      </c>
    </row>
    <row r="96" spans="2:10" x14ac:dyDescent="0.3">
      <c r="C96" s="8" t="s">
        <v>91</v>
      </c>
      <c r="D96" s="11" t="s">
        <v>127</v>
      </c>
      <c r="E96" s="14">
        <f xml:space="preserve"> 'INPUTS│Residential Retail'!E96 * 'INPUTS│Residential Retail'!E194 / 1000</f>
        <v>24.41467160728973</v>
      </c>
      <c r="F96" s="14">
        <f xml:space="preserve"> 'INPUTS│Residential Retail'!F96 * 'INPUTS│Residential Retail'!F194 / 1000</f>
        <v>25.268159298396895</v>
      </c>
      <c r="G96" s="14">
        <f xml:space="preserve"> 'INPUTS│Residential Retail'!G96 * 'INPUTS│Residential Retail'!G194 / 1000</f>
        <v>26.462583032353514</v>
      </c>
      <c r="H96" s="14">
        <f xml:space="preserve"> 'INPUTS│Residential Retail'!H96 * 'INPUTS│Residential Retail'!H194 / 1000</f>
        <v>27.094854832077345</v>
      </c>
      <c r="I96" s="14">
        <f xml:space="preserve"> 'INPUTS│Residential Retail'!I96 * 'INPUTS│Residential Retail'!I194 / 1000</f>
        <v>27.866272142767862</v>
      </c>
    </row>
    <row r="97" spans="2:10" x14ac:dyDescent="0.3">
      <c r="C97" s="8" t="s">
        <v>94</v>
      </c>
      <c r="D97" s="11" t="s">
        <v>127</v>
      </c>
      <c r="E97" s="14">
        <f xml:space="preserve"> 'INPUTS│Residential Retail'!E97 * 'INPUTS│Residential Retail'!E195 / 1000</f>
        <v>30.933128754650923</v>
      </c>
      <c r="F97" s="14">
        <f xml:space="preserve"> 'INPUTS│Residential Retail'!F97 * 'INPUTS│Residential Retail'!F195 / 1000</f>
        <v>31.151588586695514</v>
      </c>
      <c r="G97" s="14">
        <f xml:space="preserve"> 'INPUTS│Residential Retail'!G97 * 'INPUTS│Residential Retail'!G195 / 1000</f>
        <v>29.182906535937335</v>
      </c>
      <c r="H97" s="14">
        <f xml:space="preserve"> 'INPUTS│Residential Retail'!H97 * 'INPUTS│Residential Retail'!H195 / 1000</f>
        <v>27.375390200369438</v>
      </c>
      <c r="I97" s="14">
        <f xml:space="preserve"> 'INPUTS│Residential Retail'!I97 * 'INPUTS│Residential Retail'!I195 / 1000</f>
        <v>27.930491355660642</v>
      </c>
    </row>
    <row r="98" spans="2:10" x14ac:dyDescent="0.3">
      <c r="C98" s="8" t="s">
        <v>96</v>
      </c>
      <c r="D98" s="11" t="s">
        <v>127</v>
      </c>
      <c r="E98" s="14">
        <f xml:space="preserve"> 'INPUTS│Residential Retail'!E98 * 'INPUTS│Residential Retail'!E196 / 1000</f>
        <v>49.842631878709462</v>
      </c>
      <c r="F98" s="14">
        <f xml:space="preserve"> 'INPUTS│Residential Retail'!F98 * 'INPUTS│Residential Retail'!F196 / 1000</f>
        <v>50.602648643447587</v>
      </c>
      <c r="G98" s="14">
        <f xml:space="preserve"> 'INPUTS│Residential Retail'!G98 * 'INPUTS│Residential Retail'!G196 / 1000</f>
        <v>52.295382594673036</v>
      </c>
      <c r="H98" s="14">
        <f xml:space="preserve"> 'INPUTS│Residential Retail'!H98 * 'INPUTS│Residential Retail'!H196 / 1000</f>
        <v>55.039707829260117</v>
      </c>
      <c r="I98" s="14">
        <f xml:space="preserve"> 'INPUTS│Residential Retail'!I98 * 'INPUTS│Residential Retail'!I196 / 1000</f>
        <v>60.62613228</v>
      </c>
    </row>
    <row r="99" spans="2:10" x14ac:dyDescent="0.3">
      <c r="C99" s="8" t="s">
        <v>98</v>
      </c>
      <c r="D99" s="11" t="s">
        <v>127</v>
      </c>
      <c r="E99" s="14">
        <f xml:space="preserve"> 'INPUTS│Residential Retail'!E99 * 'INPUTS│Residential Retail'!E197 / 1000</f>
        <v>54.473991941642154</v>
      </c>
      <c r="F99" s="14">
        <f xml:space="preserve"> 'INPUTS│Residential Retail'!F99 * 'INPUTS│Residential Retail'!F197 / 1000</f>
        <v>54.548278278869674</v>
      </c>
      <c r="G99" s="14">
        <f xml:space="preserve"> 'INPUTS│Residential Retail'!G99 * 'INPUTS│Residential Retail'!G197 / 1000</f>
        <v>53.279078650004124</v>
      </c>
      <c r="H99" s="14">
        <f xml:space="preserve"> 'INPUTS│Residential Retail'!H99 * 'INPUTS│Residential Retail'!H197 / 1000</f>
        <v>52.658427105735875</v>
      </c>
      <c r="I99" s="14">
        <f xml:space="preserve"> 'INPUTS│Residential Retail'!I99 * 'INPUTS│Residential Retail'!I197 / 1000</f>
        <v>55.504188561214121</v>
      </c>
    </row>
    <row r="100" spans="2:10" x14ac:dyDescent="0.3">
      <c r="C100" s="8" t="s">
        <v>100</v>
      </c>
      <c r="D100" s="11" t="s">
        <v>127</v>
      </c>
      <c r="E100" s="14">
        <f xml:space="preserve"> 'INPUTS│Residential Retail'!E100 * 'INPUTS│Residential Retail'!E198 / 1000</f>
        <v>11.25220082162911</v>
      </c>
      <c r="F100" s="14">
        <f xml:space="preserve"> 'INPUTS│Residential Retail'!F100 * 'INPUTS│Residential Retail'!F198 / 1000</f>
        <v>11.816275778311647</v>
      </c>
      <c r="G100" s="14">
        <f xml:space="preserve"> 'INPUTS│Residential Retail'!G100 * 'INPUTS│Residential Retail'!G198 / 1000</f>
        <v>12.538367049091695</v>
      </c>
      <c r="H100" s="14">
        <f xml:space="preserve"> 'INPUTS│Residential Retail'!H100 * 'INPUTS│Residential Retail'!H198 / 1000</f>
        <v>13.203745374761455</v>
      </c>
      <c r="I100" s="14">
        <f xml:space="preserve"> 'INPUTS│Residential Retail'!I100 * 'INPUTS│Residential Retail'!I198 / 1000</f>
        <v>13.934321190057997</v>
      </c>
    </row>
    <row r="101" spans="2:10" x14ac:dyDescent="0.3">
      <c r="C101" s="8" t="s">
        <v>102</v>
      </c>
      <c r="D101" s="11" t="s">
        <v>127</v>
      </c>
      <c r="E101" s="14">
        <f xml:space="preserve"> 'INPUTS│Residential Retail'!E101 * 'INPUTS│Residential Retail'!E199 / 1000</f>
        <v>30.236570170567806</v>
      </c>
      <c r="F101" s="14">
        <f xml:space="preserve"> 'INPUTS│Residential Retail'!F101 * 'INPUTS│Residential Retail'!F199 / 1000</f>
        <v>32.104968054482519</v>
      </c>
      <c r="G101" s="14">
        <f xml:space="preserve"> 'INPUTS│Residential Retail'!G101 * 'INPUTS│Residential Retail'!G199 / 1000</f>
        <v>33.945813886030351</v>
      </c>
      <c r="H101" s="14">
        <f xml:space="preserve"> 'INPUTS│Residential Retail'!H101 * 'INPUTS│Residential Retail'!H199 / 1000</f>
        <v>35.76315842380432</v>
      </c>
      <c r="I101" s="14">
        <f xml:space="preserve"> 'INPUTS│Residential Retail'!I101 * 'INPUTS│Residential Retail'!I199 / 1000</f>
        <v>37.78380982570436</v>
      </c>
    </row>
    <row r="103" spans="2:10" ht="13.5" x14ac:dyDescent="0.35">
      <c r="B103" s="32" t="s">
        <v>564</v>
      </c>
      <c r="C103" s="32"/>
      <c r="D103" s="33"/>
      <c r="E103" s="32"/>
      <c r="F103" s="32"/>
      <c r="G103" s="32"/>
      <c r="H103" s="32"/>
      <c r="I103" s="32"/>
      <c r="J103" s="32"/>
    </row>
    <row r="105" spans="2:10" x14ac:dyDescent="0.3">
      <c r="C105" s="8" t="s">
        <v>80</v>
      </c>
      <c r="D105" s="11" t="s">
        <v>127</v>
      </c>
      <c r="E105" s="14">
        <f xml:space="preserve"> SUMIF( $C$9:$C$101, $C105, E$9:E$101 )</f>
        <v>79.637663033737866</v>
      </c>
      <c r="F105" s="14">
        <f xml:space="preserve"> SUMIF( $C$9:$C$101, $C105, F$9:F$101 )</f>
        <v>82.748837801082914</v>
      </c>
      <c r="G105" s="14">
        <f xml:space="preserve"> SUMIF( $C$9:$C$101, $C105, G$9:G$101 )</f>
        <v>84.76614085933349</v>
      </c>
      <c r="H105" s="14">
        <f xml:space="preserve"> SUMIF( $C$9:$C$101, $C105, H$9:H$101 )</f>
        <v>86.689464446756972</v>
      </c>
      <c r="I105" s="14">
        <f xml:space="preserve"> SUMIF( $C$9:$C$101, $C105, I$9:I$101 )</f>
        <v>88.456032273156893</v>
      </c>
    </row>
    <row r="106" spans="2:10" x14ac:dyDescent="0.3">
      <c r="C106" s="8" t="s">
        <v>82</v>
      </c>
      <c r="D106" s="11" t="s">
        <v>127</v>
      </c>
      <c r="E106" s="14">
        <f t="shared" ref="E106:I121" si="0" xml:space="preserve"> SUMIF( $C$9:$C$101, $C106, E$9:E$101 )</f>
        <v>56.802309616745056</v>
      </c>
      <c r="F106" s="14">
        <f t="shared" si="0"/>
        <v>55.841776015581068</v>
      </c>
      <c r="G106" s="14">
        <f t="shared" si="0"/>
        <v>54.666494302402313</v>
      </c>
      <c r="H106" s="14">
        <f t="shared" si="0"/>
        <v>53.223388863756782</v>
      </c>
      <c r="I106" s="14">
        <f t="shared" si="0"/>
        <v>53.360293717127306</v>
      </c>
    </row>
    <row r="107" spans="2:10" x14ac:dyDescent="0.3">
      <c r="C107" s="8" t="s">
        <v>85</v>
      </c>
      <c r="D107" s="11" t="s">
        <v>127</v>
      </c>
      <c r="E107" s="14">
        <f t="shared" si="0"/>
        <v>2.8204574234021988</v>
      </c>
      <c r="F107" s="14">
        <f t="shared" si="0"/>
        <v>2.8594140150059517</v>
      </c>
      <c r="G107" s="14">
        <f t="shared" si="0"/>
        <v>2.8944098806224501</v>
      </c>
      <c r="H107" s="14">
        <f t="shared" si="0"/>
        <v>2.5030105186043068</v>
      </c>
      <c r="I107" s="14">
        <f t="shared" si="0"/>
        <v>2.5159204947190572</v>
      </c>
    </row>
    <row r="108" spans="2:10" x14ac:dyDescent="0.3">
      <c r="C108" s="8" t="s">
        <v>87</v>
      </c>
      <c r="D108" s="11" t="s">
        <v>127</v>
      </c>
      <c r="E108" s="14">
        <f t="shared" si="0"/>
        <v>56.955660500431648</v>
      </c>
      <c r="F108" s="14">
        <f t="shared" si="0"/>
        <v>57.956842682944028</v>
      </c>
      <c r="G108" s="14">
        <f t="shared" si="0"/>
        <v>58.768747990800598</v>
      </c>
      <c r="H108" s="14">
        <f t="shared" si="0"/>
        <v>59.543915031358893</v>
      </c>
      <c r="I108" s="14">
        <f t="shared" si="0"/>
        <v>60.366476173456263</v>
      </c>
    </row>
    <row r="109" spans="2:10" x14ac:dyDescent="0.3">
      <c r="C109" s="8" t="s">
        <v>89</v>
      </c>
      <c r="D109" s="11" t="s">
        <v>127</v>
      </c>
      <c r="E109" s="14">
        <f t="shared" si="0"/>
        <v>116.19189661598782</v>
      </c>
      <c r="F109" s="14">
        <f t="shared" si="0"/>
        <v>118.6539047775865</v>
      </c>
      <c r="G109" s="14">
        <f t="shared" si="0"/>
        <v>123.55545294846182</v>
      </c>
      <c r="H109" s="14">
        <f t="shared" si="0"/>
        <v>125.35987361870778</v>
      </c>
      <c r="I109" s="14">
        <f t="shared" si="0"/>
        <v>127.37004546388812</v>
      </c>
    </row>
    <row r="110" spans="2:10" x14ac:dyDescent="0.3">
      <c r="C110" s="8" t="s">
        <v>91</v>
      </c>
      <c r="D110" s="11" t="s">
        <v>127</v>
      </c>
      <c r="E110" s="14">
        <f t="shared" si="0"/>
        <v>36.723329266375607</v>
      </c>
      <c r="F110" s="14">
        <f t="shared" si="0"/>
        <v>37.395178560054809</v>
      </c>
      <c r="G110" s="14">
        <f t="shared" si="0"/>
        <v>38.500912953154476</v>
      </c>
      <c r="H110" s="14">
        <f t="shared" si="0"/>
        <v>38.82532869520751</v>
      </c>
      <c r="I110" s="14">
        <f t="shared" si="0"/>
        <v>39.518536504987559</v>
      </c>
    </row>
    <row r="111" spans="2:10" x14ac:dyDescent="0.3">
      <c r="C111" s="8" t="s">
        <v>94</v>
      </c>
      <c r="D111" s="11" t="s">
        <v>127</v>
      </c>
      <c r="E111" s="14">
        <f t="shared" si="0"/>
        <v>64.410405265348913</v>
      </c>
      <c r="F111" s="14">
        <f t="shared" si="0"/>
        <v>63.600350566912212</v>
      </c>
      <c r="G111" s="14">
        <f t="shared" si="0"/>
        <v>59.474892980014857</v>
      </c>
      <c r="H111" s="14">
        <f t="shared" si="0"/>
        <v>55.58827082378761</v>
      </c>
      <c r="I111" s="14">
        <f t="shared" si="0"/>
        <v>56.996512385619411</v>
      </c>
    </row>
    <row r="112" spans="2:10" x14ac:dyDescent="0.3">
      <c r="C112" s="8" t="s">
        <v>96</v>
      </c>
      <c r="D112" s="11" t="s">
        <v>127</v>
      </c>
      <c r="E112" s="14">
        <f t="shared" si="0"/>
        <v>165.37844914881117</v>
      </c>
      <c r="F112" s="14">
        <f t="shared" si="0"/>
        <v>166.20692043858651</v>
      </c>
      <c r="G112" s="14">
        <f t="shared" si="0"/>
        <v>168.47128194489545</v>
      </c>
      <c r="H112" s="14">
        <f t="shared" si="0"/>
        <v>170.51043336714261</v>
      </c>
      <c r="I112" s="14">
        <f t="shared" si="0"/>
        <v>175.65925882000002</v>
      </c>
    </row>
    <row r="113" spans="2:10" x14ac:dyDescent="0.3">
      <c r="C113" s="8" t="s">
        <v>98</v>
      </c>
      <c r="D113" s="11" t="s">
        <v>127</v>
      </c>
      <c r="E113" s="14">
        <f t="shared" si="0"/>
        <v>131.43740881501952</v>
      </c>
      <c r="F113" s="14">
        <f t="shared" si="0"/>
        <v>127.99911510789731</v>
      </c>
      <c r="G113" s="14">
        <f t="shared" si="0"/>
        <v>121.21928508464997</v>
      </c>
      <c r="H113" s="14">
        <f t="shared" si="0"/>
        <v>116.45749123763477</v>
      </c>
      <c r="I113" s="14">
        <f t="shared" si="0"/>
        <v>119.52953333062797</v>
      </c>
    </row>
    <row r="114" spans="2:10" x14ac:dyDescent="0.3">
      <c r="C114" s="8" t="s">
        <v>100</v>
      </c>
      <c r="D114" s="11" t="s">
        <v>127</v>
      </c>
      <c r="E114" s="14">
        <f t="shared" si="0"/>
        <v>33.537450773007308</v>
      </c>
      <c r="F114" s="14">
        <f t="shared" si="0"/>
        <v>34.4517778416905</v>
      </c>
      <c r="G114" s="14">
        <f t="shared" si="0"/>
        <v>35.621938589401175</v>
      </c>
      <c r="H114" s="14">
        <f t="shared" si="0"/>
        <v>36.619017382450401</v>
      </c>
      <c r="I114" s="14">
        <f t="shared" si="0"/>
        <v>37.784379565412976</v>
      </c>
    </row>
    <row r="115" spans="2:10" x14ac:dyDescent="0.3">
      <c r="C115" s="8" t="s">
        <v>102</v>
      </c>
      <c r="D115" s="11" t="s">
        <v>127</v>
      </c>
      <c r="E115" s="14">
        <f t="shared" si="0"/>
        <v>59.249056333610014</v>
      </c>
      <c r="F115" s="14">
        <f t="shared" si="0"/>
        <v>61.058715651102247</v>
      </c>
      <c r="G115" s="14">
        <f t="shared" si="0"/>
        <v>62.689298113775578</v>
      </c>
      <c r="H115" s="14">
        <f t="shared" si="0"/>
        <v>64.372832160686059</v>
      </c>
      <c r="I115" s="14">
        <f t="shared" si="0"/>
        <v>66.100429517628754</v>
      </c>
    </row>
    <row r="116" spans="2:10" x14ac:dyDescent="0.3">
      <c r="C116" s="8" t="s">
        <v>104</v>
      </c>
      <c r="D116" s="11" t="s">
        <v>127</v>
      </c>
      <c r="E116" s="14">
        <f t="shared" si="0"/>
        <v>28.378112295620362</v>
      </c>
      <c r="F116" s="14">
        <f t="shared" si="0"/>
        <v>28.070380006220631</v>
      </c>
      <c r="G116" s="14">
        <f t="shared" si="0"/>
        <v>27.616659614109217</v>
      </c>
      <c r="H116" s="14">
        <f t="shared" si="0"/>
        <v>27.278131707983462</v>
      </c>
      <c r="I116" s="14">
        <f t="shared" si="0"/>
        <v>27.736860433409248</v>
      </c>
    </row>
    <row r="117" spans="2:10" x14ac:dyDescent="0.3">
      <c r="C117" s="8" t="s">
        <v>106</v>
      </c>
      <c r="D117" s="11" t="s">
        <v>127</v>
      </c>
      <c r="E117" s="14">
        <f t="shared" si="0"/>
        <v>10.307779750877573</v>
      </c>
      <c r="F117" s="14">
        <f t="shared" si="0"/>
        <v>10.614474648123782</v>
      </c>
      <c r="G117" s="14">
        <f t="shared" si="0"/>
        <v>11.064791770931365</v>
      </c>
      <c r="H117" s="14">
        <f t="shared" si="0"/>
        <v>11.516689263665306</v>
      </c>
      <c r="I117" s="14">
        <f t="shared" si="0"/>
        <v>12.07808884950364</v>
      </c>
    </row>
    <row r="118" spans="2:10" x14ac:dyDescent="0.3">
      <c r="C118" s="8" t="s">
        <v>108</v>
      </c>
      <c r="D118" s="11" t="s">
        <v>127</v>
      </c>
      <c r="E118" s="14">
        <f t="shared" si="0"/>
        <v>4.5184650615925452</v>
      </c>
      <c r="F118" s="14">
        <f t="shared" si="0"/>
        <v>4.6061942369404143</v>
      </c>
      <c r="G118" s="14">
        <f t="shared" si="0"/>
        <v>4.6751240551494675</v>
      </c>
      <c r="H118" s="14">
        <f t="shared" si="0"/>
        <v>4.7203303864464843</v>
      </c>
      <c r="I118" s="14">
        <f t="shared" si="0"/>
        <v>4.7755454575881977</v>
      </c>
    </row>
    <row r="119" spans="2:10" x14ac:dyDescent="0.3">
      <c r="C119" s="8" t="s">
        <v>112</v>
      </c>
      <c r="D119" s="11" t="s">
        <v>127</v>
      </c>
      <c r="E119" s="14">
        <f t="shared" si="0"/>
        <v>20.458775773971112</v>
      </c>
      <c r="F119" s="14">
        <f t="shared" si="0"/>
        <v>21.102617804944927</v>
      </c>
      <c r="G119" s="14">
        <f t="shared" si="0"/>
        <v>21.72179096847908</v>
      </c>
      <c r="H119" s="14">
        <f t="shared" si="0"/>
        <v>22.148255407310465</v>
      </c>
      <c r="I119" s="14">
        <f t="shared" si="0"/>
        <v>22.707028642497622</v>
      </c>
    </row>
    <row r="120" spans="2:10" x14ac:dyDescent="0.3">
      <c r="C120" s="8" t="s">
        <v>114</v>
      </c>
      <c r="D120" s="11" t="s">
        <v>127</v>
      </c>
      <c r="E120" s="14">
        <f t="shared" si="0"/>
        <v>14.935737241230658</v>
      </c>
      <c r="F120" s="14">
        <f t="shared" si="0"/>
        <v>15.156115360925636</v>
      </c>
      <c r="G120" s="14">
        <f t="shared" si="0"/>
        <v>15.795763999169459</v>
      </c>
      <c r="H120" s="14">
        <f t="shared" si="0"/>
        <v>16.762190036782151</v>
      </c>
      <c r="I120" s="14">
        <f t="shared" si="0"/>
        <v>16.956025962437963</v>
      </c>
    </row>
    <row r="121" spans="2:10" x14ac:dyDescent="0.3">
      <c r="C121" s="8" t="s">
        <v>110</v>
      </c>
      <c r="D121" s="11" t="s">
        <v>127</v>
      </c>
      <c r="E121" s="14">
        <f t="shared" si="0"/>
        <v>5.7848478716968428</v>
      </c>
      <c r="F121" s="14">
        <f t="shared" si="0"/>
        <v>5.8123167392770947</v>
      </c>
      <c r="G121" s="14">
        <f t="shared" si="0"/>
        <v>6.0277585076280999</v>
      </c>
      <c r="H121" s="14">
        <f t="shared" si="0"/>
        <v>6.0244490233133803</v>
      </c>
      <c r="I121" s="14">
        <f t="shared" si="0"/>
        <v>6.0512330187861529</v>
      </c>
    </row>
    <row r="123" spans="2:10" ht="13.5" x14ac:dyDescent="0.35">
      <c r="B123" s="9" t="s">
        <v>565</v>
      </c>
      <c r="C123" s="9"/>
      <c r="D123" s="10"/>
      <c r="E123" s="9"/>
      <c r="F123" s="9"/>
      <c r="G123" s="9"/>
      <c r="H123" s="9"/>
      <c r="I123" s="9"/>
      <c r="J123" s="9"/>
    </row>
    <row r="125" spans="2:10" ht="13.5" x14ac:dyDescent="0.35">
      <c r="B125" s="32" t="s">
        <v>414</v>
      </c>
      <c r="C125" s="32"/>
      <c r="D125" s="33"/>
      <c r="E125" s="32"/>
      <c r="F125" s="32"/>
      <c r="G125" s="32"/>
      <c r="H125" s="32"/>
      <c r="I125" s="32"/>
      <c r="J125" s="32"/>
    </row>
    <row r="127" spans="2:10" x14ac:dyDescent="0.3">
      <c r="C127" s="8" t="s">
        <v>80</v>
      </c>
      <c r="D127" s="11" t="s">
        <v>127</v>
      </c>
      <c r="E127" s="46">
        <f xml:space="preserve"> 'INPUTS│Residential Retail'!E205</f>
        <v>80.590506765166097</v>
      </c>
      <c r="F127" s="46">
        <f xml:space="preserve"> 'INPUTS│Residential Retail'!F205</f>
        <v>83.571080014153594</v>
      </c>
      <c r="G127" s="46">
        <f xml:space="preserve"> 'INPUTS│Residential Retail'!G205</f>
        <v>85.913543740266803</v>
      </c>
      <c r="H127" s="46">
        <f xml:space="preserve"> 'INPUTS│Residential Retail'!H205</f>
        <v>87.6518931803637</v>
      </c>
      <c r="I127" s="46">
        <f xml:space="preserve"> 'INPUTS│Residential Retail'!I205</f>
        <v>89.411868833240902</v>
      </c>
    </row>
    <row r="128" spans="2:10" x14ac:dyDescent="0.3">
      <c r="C128" s="8" t="s">
        <v>82</v>
      </c>
      <c r="D128" s="11" t="s">
        <v>127</v>
      </c>
      <c r="E128" s="46">
        <f xml:space="preserve"> 'INPUTS│Residential Retail'!E206</f>
        <v>57.032834530370899</v>
      </c>
      <c r="F128" s="46">
        <f xml:space="preserve"> 'INPUTS│Residential Retail'!F206</f>
        <v>55.627958693541203</v>
      </c>
      <c r="G128" s="46">
        <f xml:space="preserve"> 'INPUTS│Residential Retail'!G206</f>
        <v>54.278348149194699</v>
      </c>
      <c r="H128" s="46">
        <f xml:space="preserve"> 'INPUTS│Residential Retail'!H206</f>
        <v>52.781728263099303</v>
      </c>
      <c r="I128" s="46">
        <f xml:space="preserve"> 'INPUTS│Residential Retail'!I206</f>
        <v>52.8328338746797</v>
      </c>
    </row>
    <row r="129" spans="3:9" x14ac:dyDescent="0.3">
      <c r="C129" s="8" t="s">
        <v>85</v>
      </c>
      <c r="D129" s="11" t="s">
        <v>127</v>
      </c>
      <c r="E129" s="46">
        <f xml:space="preserve"> 'INPUTS│Residential Retail'!E207</f>
        <v>2.9002731544277198</v>
      </c>
      <c r="F129" s="46">
        <f xml:space="preserve"> 'INPUTS│Residential Retail'!F207</f>
        <v>2.9368816877620199</v>
      </c>
      <c r="G129" s="46">
        <f xml:space="preserve"> 'INPUTS│Residential Retail'!G207</f>
        <v>2.9689074832232998</v>
      </c>
      <c r="H129" s="46">
        <f xml:space="preserve"> 'INPUTS│Residential Retail'!H207</f>
        <v>2.7048728999999998</v>
      </c>
      <c r="I129" s="46">
        <f xml:space="preserve"> 'INPUTS│Residential Retail'!I207</f>
        <v>2.6447048999999998</v>
      </c>
    </row>
    <row r="130" spans="3:9" x14ac:dyDescent="0.3">
      <c r="C130" s="8" t="s">
        <v>87</v>
      </c>
      <c r="D130" s="11" t="s">
        <v>127</v>
      </c>
      <c r="E130" s="46">
        <f xml:space="preserve"> 'INPUTS│Residential Retail'!E208</f>
        <v>57.053856166593597</v>
      </c>
      <c r="F130" s="46">
        <f xml:space="preserve"> 'INPUTS│Residential Retail'!F208</f>
        <v>58.129981831841697</v>
      </c>
      <c r="G130" s="46">
        <f xml:space="preserve"> 'INPUTS│Residential Retail'!G208</f>
        <v>58.973923341780399</v>
      </c>
      <c r="H130" s="46">
        <f xml:space="preserve"> 'INPUTS│Residential Retail'!H208</f>
        <v>59.772409558232098</v>
      </c>
      <c r="I130" s="46">
        <f xml:space="preserve"> 'INPUTS│Residential Retail'!I208</f>
        <v>60.5531599614241</v>
      </c>
    </row>
    <row r="131" spans="3:9" x14ac:dyDescent="0.3">
      <c r="C131" s="8" t="s">
        <v>89</v>
      </c>
      <c r="D131" s="11" t="s">
        <v>127</v>
      </c>
      <c r="E131" s="46">
        <f xml:space="preserve"> 'INPUTS│Residential Retail'!E209</f>
        <v>113.501326479657</v>
      </c>
      <c r="F131" s="46">
        <f xml:space="preserve"> 'INPUTS│Residential Retail'!F209</f>
        <v>117.639576110787</v>
      </c>
      <c r="G131" s="46">
        <f xml:space="preserve"> 'INPUTS│Residential Retail'!G209</f>
        <v>121.444572418158</v>
      </c>
      <c r="H131" s="46">
        <f xml:space="preserve"> 'INPUTS│Residential Retail'!H209</f>
        <v>123.70626978999999</v>
      </c>
      <c r="I131" s="46">
        <f xml:space="preserve"> 'INPUTS│Residential Retail'!I209</f>
        <v>125.71810245000002</v>
      </c>
    </row>
    <row r="132" spans="3:9" x14ac:dyDescent="0.3">
      <c r="C132" s="8" t="s">
        <v>91</v>
      </c>
      <c r="D132" s="11" t="s">
        <v>127</v>
      </c>
      <c r="E132" s="46">
        <f xml:space="preserve"> 'INPUTS│Residential Retail'!E210</f>
        <v>36.467144952882762</v>
      </c>
      <c r="F132" s="46">
        <f xml:space="preserve"> 'INPUTS│Residential Retail'!F210</f>
        <v>37.081555170536284</v>
      </c>
      <c r="G132" s="46">
        <f xml:space="preserve"> 'INPUTS│Residential Retail'!G210</f>
        <v>37.626417437982937</v>
      </c>
      <c r="H132" s="46">
        <f xml:space="preserve"> 'INPUTS│Residential Retail'!H210</f>
        <v>37.908216162534174</v>
      </c>
      <c r="I132" s="46">
        <f xml:space="preserve"> 'INPUTS│Residential Retail'!I210</f>
        <v>38.475799268256722</v>
      </c>
    </row>
    <row r="133" spans="3:9" x14ac:dyDescent="0.3">
      <c r="C133" s="8" t="s">
        <v>94</v>
      </c>
      <c r="D133" s="11" t="s">
        <v>127</v>
      </c>
      <c r="E133" s="46">
        <f xml:space="preserve"> 'INPUTS│Residential Retail'!E211</f>
        <v>64.964764238362093</v>
      </c>
      <c r="F133" s="46">
        <f xml:space="preserve"> 'INPUTS│Residential Retail'!F211</f>
        <v>64.175433348902104</v>
      </c>
      <c r="G133" s="46">
        <f xml:space="preserve"> 'INPUTS│Residential Retail'!G211</f>
        <v>60.232545696496103</v>
      </c>
      <c r="H133" s="46">
        <f xml:space="preserve"> 'INPUTS│Residential Retail'!H211</f>
        <v>56.386780583279702</v>
      </c>
      <c r="I133" s="46">
        <f xml:space="preserve"> 'INPUTS│Residential Retail'!I211</f>
        <v>57.942277842994201</v>
      </c>
    </row>
    <row r="134" spans="3:9" x14ac:dyDescent="0.3">
      <c r="C134" s="8" t="s">
        <v>96</v>
      </c>
      <c r="D134" s="11" t="s">
        <v>127</v>
      </c>
      <c r="E134" s="46">
        <f xml:space="preserve"> 'INPUTS│Residential Retail'!E212</f>
        <v>165.58832103232626</v>
      </c>
      <c r="F134" s="46">
        <f xml:space="preserve"> 'INPUTS│Residential Retail'!F212</f>
        <v>167.90831536112131</v>
      </c>
      <c r="G134" s="46">
        <f xml:space="preserve"> 'INPUTS│Residential Retail'!G212</f>
        <v>172.10457473339392</v>
      </c>
      <c r="H134" s="46">
        <f xml:space="preserve"> 'INPUTS│Residential Retail'!H212</f>
        <v>174.85571801624675</v>
      </c>
      <c r="I134" s="46">
        <f xml:space="preserve"> 'INPUTS│Residential Retail'!I212</f>
        <v>180.21600000000001</v>
      </c>
    </row>
    <row r="135" spans="3:9" x14ac:dyDescent="0.3">
      <c r="C135" s="8" t="s">
        <v>98</v>
      </c>
      <c r="D135" s="11" t="s">
        <v>127</v>
      </c>
      <c r="E135" s="46">
        <f xml:space="preserve"> 'INPUTS│Residential Retail'!E213</f>
        <v>132.076000135101</v>
      </c>
      <c r="F135" s="46">
        <f xml:space="preserve"> 'INPUTS│Residential Retail'!F213</f>
        <v>127.559819817641</v>
      </c>
      <c r="G135" s="46">
        <f xml:space="preserve"> 'INPUTS│Residential Retail'!G213</f>
        <v>121.38716554365099</v>
      </c>
      <c r="H135" s="46">
        <f xml:space="preserve"> 'INPUTS│Residential Retail'!H213</f>
        <v>116.41515314049499</v>
      </c>
      <c r="I135" s="46">
        <f xml:space="preserve"> 'INPUTS│Residential Retail'!I213</f>
        <v>118.850334835768</v>
      </c>
    </row>
    <row r="136" spans="3:9" x14ac:dyDescent="0.3">
      <c r="C136" s="8" t="s">
        <v>100</v>
      </c>
      <c r="D136" s="11" t="s">
        <v>127</v>
      </c>
      <c r="E136" s="46">
        <f xml:space="preserve"> 'INPUTS│Residential Retail'!E214</f>
        <v>33.203419912514804</v>
      </c>
      <c r="F136" s="46">
        <f xml:space="preserve"> 'INPUTS│Residential Retail'!F214</f>
        <v>34.378368463737999</v>
      </c>
      <c r="G136" s="46">
        <f xml:space="preserve"> 'INPUTS│Residential Retail'!G214</f>
        <v>35.723987857825499</v>
      </c>
      <c r="H136" s="46">
        <f xml:space="preserve"> 'INPUTS│Residential Retail'!H214</f>
        <v>36.911716227250302</v>
      </c>
      <c r="I136" s="46">
        <f xml:space="preserve"> 'INPUTS│Residential Retail'!I214</f>
        <v>38.256586779757299</v>
      </c>
    </row>
    <row r="137" spans="3:9" x14ac:dyDescent="0.3">
      <c r="C137" s="8" t="s">
        <v>102</v>
      </c>
      <c r="D137" s="11" t="s">
        <v>127</v>
      </c>
      <c r="E137" s="46">
        <f xml:space="preserve"> 'INPUTS│Residential Retail'!E215</f>
        <v>59.2923021935013</v>
      </c>
      <c r="F137" s="46">
        <f xml:space="preserve"> 'INPUTS│Residential Retail'!F215</f>
        <v>61.063814265271098</v>
      </c>
      <c r="G137" s="46">
        <f xml:space="preserve"> 'INPUTS│Residential Retail'!G215</f>
        <v>63.055244437511298</v>
      </c>
      <c r="H137" s="46">
        <f xml:space="preserve"> 'INPUTS│Residential Retail'!H215</f>
        <v>65.189527501951403</v>
      </c>
      <c r="I137" s="46">
        <f xml:space="preserve"> 'INPUTS│Residential Retail'!I215</f>
        <v>67.410711872875098</v>
      </c>
    </row>
    <row r="138" spans="3:9" x14ac:dyDescent="0.3">
      <c r="C138" s="8" t="s">
        <v>104</v>
      </c>
      <c r="D138" s="11" t="s">
        <v>127</v>
      </c>
      <c r="E138" s="46">
        <f xml:space="preserve"> 'INPUTS│Residential Retail'!E216</f>
        <v>28.888399082198699</v>
      </c>
      <c r="F138" s="46">
        <f xml:space="preserve"> 'INPUTS│Residential Retail'!F216</f>
        <v>28.8735229097374</v>
      </c>
      <c r="G138" s="46">
        <f xml:space="preserve"> 'INPUTS│Residential Retail'!G216</f>
        <v>28.759126487809599</v>
      </c>
      <c r="H138" s="46">
        <f xml:space="preserve"> 'INPUTS│Residential Retail'!H216</f>
        <v>28.566331014844302</v>
      </c>
      <c r="I138" s="46">
        <f xml:space="preserve"> 'INPUTS│Residential Retail'!I216</f>
        <v>28.9912653287168</v>
      </c>
    </row>
    <row r="139" spans="3:9" x14ac:dyDescent="0.3">
      <c r="C139" s="8" t="s">
        <v>106</v>
      </c>
      <c r="D139" s="11" t="s">
        <v>127</v>
      </c>
      <c r="E139" s="46">
        <f xml:space="preserve"> 'INPUTS│Residential Retail'!E217</f>
        <v>10.433943695172299</v>
      </c>
      <c r="F139" s="46">
        <f xml:space="preserve"> 'INPUTS│Residential Retail'!F217</f>
        <v>10.8752803602345</v>
      </c>
      <c r="G139" s="46">
        <f xml:space="preserve"> 'INPUTS│Residential Retail'!G217</f>
        <v>11.370795265812699</v>
      </c>
      <c r="H139" s="46">
        <f xml:space="preserve"> 'INPUTS│Residential Retail'!H217</f>
        <v>11.856393009105799</v>
      </c>
      <c r="I139" s="46">
        <f xml:space="preserve"> 'INPUTS│Residential Retail'!I217</f>
        <v>12.4843407679209</v>
      </c>
    </row>
    <row r="140" spans="3:9" x14ac:dyDescent="0.3">
      <c r="C140" s="8" t="s">
        <v>108</v>
      </c>
      <c r="D140" s="11" t="s">
        <v>127</v>
      </c>
      <c r="E140" s="46">
        <f xml:space="preserve"> 'INPUTS│Residential Retail'!E218</f>
        <v>4.51986824918691</v>
      </c>
      <c r="F140" s="46">
        <f xml:space="preserve"> 'INPUTS│Residential Retail'!F218</f>
        <v>4.6058714008946398</v>
      </c>
      <c r="G140" s="46">
        <f xml:space="preserve"> 'INPUTS│Residential Retail'!G218</f>
        <v>4.6928402357482604</v>
      </c>
      <c r="H140" s="46">
        <f xml:space="preserve"> 'INPUTS│Residential Retail'!H218</f>
        <v>4.7849854533084599</v>
      </c>
      <c r="I140" s="46">
        <f xml:space="preserve"> 'INPUTS│Residential Retail'!I218</f>
        <v>4.8749184489523802</v>
      </c>
    </row>
    <row r="141" spans="3:9" x14ac:dyDescent="0.3">
      <c r="C141" s="8" t="s">
        <v>112</v>
      </c>
      <c r="D141" s="11" t="s">
        <v>127</v>
      </c>
      <c r="E141" s="46">
        <f xml:space="preserve"> 'INPUTS│Residential Retail'!E219</f>
        <v>20.354856305761501</v>
      </c>
      <c r="F141" s="46">
        <f xml:space="preserve"> 'INPUTS│Residential Retail'!F219</f>
        <v>20.950824587341099</v>
      </c>
      <c r="G141" s="46">
        <f xml:space="preserve"> 'INPUTS│Residential Retail'!G219</f>
        <v>21.535087624230702</v>
      </c>
      <c r="H141" s="46">
        <f xml:space="preserve"> 'INPUTS│Residential Retail'!H219</f>
        <v>21.9924300882812</v>
      </c>
      <c r="I141" s="46">
        <f xml:space="preserve"> 'INPUTS│Residential Retail'!I219</f>
        <v>22.679690316720102</v>
      </c>
    </row>
    <row r="142" spans="3:9" x14ac:dyDescent="0.3">
      <c r="C142" s="8" t="s">
        <v>114</v>
      </c>
      <c r="D142" s="11" t="s">
        <v>127</v>
      </c>
      <c r="E142" s="46">
        <f xml:space="preserve"> 'INPUTS│Residential Retail'!E220</f>
        <v>14.825027505842099</v>
      </c>
      <c r="F142" s="46">
        <f xml:space="preserve"> 'INPUTS│Residential Retail'!F220</f>
        <v>15.112472369264401</v>
      </c>
      <c r="G142" s="46">
        <f xml:space="preserve"> 'INPUTS│Residential Retail'!G220</f>
        <v>15.6541394202848</v>
      </c>
      <c r="H142" s="46">
        <f xml:space="preserve"> 'INPUTS│Residential Retail'!H220</f>
        <v>16.512558266725101</v>
      </c>
      <c r="I142" s="46">
        <f xml:space="preserve"> 'INPUTS│Residential Retail'!I220</f>
        <v>16.867490281543901</v>
      </c>
    </row>
    <row r="143" spans="3:9" x14ac:dyDescent="0.3">
      <c r="C143" s="8" t="s">
        <v>110</v>
      </c>
      <c r="D143" s="11" t="s">
        <v>127</v>
      </c>
      <c r="E143" s="46">
        <f xml:space="preserve"> 'INPUTS│Residential Retail'!E221</f>
        <v>5.8578250532028804</v>
      </c>
      <c r="F143" s="46">
        <f xml:space="preserve"> 'INPUTS│Residential Retail'!F221</f>
        <v>5.9320589864480002</v>
      </c>
      <c r="G143" s="46">
        <f xml:space="preserve"> 'INPUTS│Residential Retail'!G221</f>
        <v>6.1561413744815301</v>
      </c>
      <c r="H143" s="46">
        <f xml:space="preserve"> 'INPUTS│Residential Retail'!H221</f>
        <v>6.1499768552667398</v>
      </c>
      <c r="I143" s="46">
        <f xml:space="preserve"> 'INPUTS│Residential Retail'!I221</f>
        <v>6.15821922711591</v>
      </c>
    </row>
    <row r="145" spans="2:10" ht="13.5" x14ac:dyDescent="0.35">
      <c r="B145" s="32" t="s">
        <v>417</v>
      </c>
      <c r="C145" s="32"/>
      <c r="D145" s="33"/>
      <c r="E145" s="32"/>
      <c r="F145" s="32"/>
      <c r="G145" s="32"/>
      <c r="H145" s="32"/>
      <c r="I145" s="32"/>
      <c r="J145" s="32"/>
    </row>
    <row r="147" spans="2:10" x14ac:dyDescent="0.3">
      <c r="C147" s="8" t="s">
        <v>80</v>
      </c>
      <c r="D147" s="11" t="s">
        <v>127</v>
      </c>
      <c r="E147" s="46">
        <f xml:space="preserve"> 'INPUTS│Residential Retail'!E225</f>
        <v>71.391853483312701</v>
      </c>
      <c r="F147" s="46">
        <f xml:space="preserve"> 'INPUTS│Residential Retail'!F225</f>
        <v>74.002723132686398</v>
      </c>
      <c r="G147" s="46">
        <f xml:space="preserve"> 'INPUTS│Residential Retail'!G225</f>
        <v>75.956042343598497</v>
      </c>
      <c r="H147" s="46">
        <f xml:space="preserve"> 'INPUTS│Residential Retail'!H225</f>
        <v>77.325116516186398</v>
      </c>
      <c r="I147" s="46">
        <f xml:space="preserve"> 'INPUTS│Residential Retail'!I225</f>
        <v>78.711841457383301</v>
      </c>
    </row>
    <row r="148" spans="2:10" x14ac:dyDescent="0.3">
      <c r="C148" s="8" t="s">
        <v>82</v>
      </c>
      <c r="D148" s="11" t="s">
        <v>127</v>
      </c>
      <c r="E148" s="46">
        <f xml:space="preserve"> 'INPUTS│Residential Retail'!E226</f>
        <v>51.405948504049199</v>
      </c>
      <c r="F148" s="46">
        <f xml:space="preserve"> 'INPUTS│Residential Retail'!F226</f>
        <v>49.849142356779097</v>
      </c>
      <c r="G148" s="46">
        <f xml:space="preserve"> 'INPUTS│Residential Retail'!G226</f>
        <v>48.344143823438102</v>
      </c>
      <c r="H148" s="46">
        <f xml:space="preserve"> 'INPUTS│Residential Retail'!H226</f>
        <v>46.697231726458</v>
      </c>
      <c r="I148" s="46">
        <f xml:space="preserve"> 'INPUTS│Residential Retail'!I226</f>
        <v>46.581892200401903</v>
      </c>
    </row>
    <row r="149" spans="2:10" x14ac:dyDescent="0.3">
      <c r="C149" s="8" t="s">
        <v>85</v>
      </c>
      <c r="D149" s="11" t="s">
        <v>127</v>
      </c>
      <c r="E149" s="46">
        <f xml:space="preserve"> 'INPUTS│Residential Retail'!E227</f>
        <v>2.7216690878172898</v>
      </c>
      <c r="F149" s="46">
        <f xml:space="preserve"> 'INPUTS│Residential Retail'!F227</f>
        <v>2.7515056737646399</v>
      </c>
      <c r="G149" s="46">
        <f xml:space="preserve"> 'INPUTS│Residential Retail'!G227</f>
        <v>2.7766315048484298</v>
      </c>
      <c r="H149" s="46">
        <f xml:space="preserve"> 'INPUTS│Residential Retail'!H227</f>
        <v>2.5032626510757052</v>
      </c>
      <c r="I149" s="46">
        <f xml:space="preserve"> 'INPUTS│Residential Retail'!I227</f>
        <v>2.4349226083852078</v>
      </c>
    </row>
    <row r="150" spans="2:10" x14ac:dyDescent="0.3">
      <c r="C150" s="8" t="s">
        <v>87</v>
      </c>
      <c r="D150" s="11" t="s">
        <v>127</v>
      </c>
      <c r="E150" s="46">
        <f xml:space="preserve"> 'INPUTS│Residential Retail'!E228</f>
        <v>51.268462127537802</v>
      </c>
      <c r="F150" s="46">
        <f xml:space="preserve"> 'INPUTS│Residential Retail'!F228</f>
        <v>52.135689862442902</v>
      </c>
      <c r="G150" s="46">
        <f xml:space="preserve"> 'INPUTS│Residential Retail'!G228</f>
        <v>52.757064843032602</v>
      </c>
      <c r="H150" s="46">
        <f xml:space="preserve"> 'INPUTS│Residential Retail'!H228</f>
        <v>53.3406011955312</v>
      </c>
      <c r="I150" s="46">
        <f xml:space="preserve"> 'INPUTS│Residential Retail'!I228</f>
        <v>53.908961165205497</v>
      </c>
    </row>
    <row r="151" spans="2:10" x14ac:dyDescent="0.3">
      <c r="C151" s="8" t="s">
        <v>89</v>
      </c>
      <c r="D151" s="11" t="s">
        <v>127</v>
      </c>
      <c r="E151" s="46">
        <f xml:space="preserve"> 'INPUTS│Residential Retail'!E229</f>
        <v>102.435150442713</v>
      </c>
      <c r="F151" s="46">
        <f xml:space="preserve"> 'INPUTS│Residential Retail'!F229</f>
        <v>106.186829249832</v>
      </c>
      <c r="G151" s="46">
        <f xml:space="preserve"> 'INPUTS│Residential Retail'!G229</f>
        <v>109.55984227794499</v>
      </c>
      <c r="H151" s="46">
        <f xml:space="preserve"> 'INPUTS│Residential Retail'!H229</f>
        <v>111.43083086253959</v>
      </c>
      <c r="I151" s="46">
        <f xml:space="preserve"> 'INPUTS│Residential Retail'!I229</f>
        <v>113.05347200709228</v>
      </c>
    </row>
    <row r="152" spans="2:10" x14ac:dyDescent="0.3">
      <c r="C152" s="8" t="s">
        <v>91</v>
      </c>
      <c r="D152" s="11" t="s">
        <v>127</v>
      </c>
      <c r="E152" s="46">
        <f xml:space="preserve"> 'INPUTS│Residential Retail'!E230</f>
        <v>32.524521166744059</v>
      </c>
      <c r="F152" s="46">
        <f xml:space="preserve"> 'INPUTS│Residential Retail'!F230</f>
        <v>33.013753981060987</v>
      </c>
      <c r="G152" s="46">
        <f xml:space="preserve"> 'INPUTS│Residential Retail'!G230</f>
        <v>33.427788565230458</v>
      </c>
      <c r="H152" s="46">
        <f xml:space="preserve"> 'INPUTS│Residential Retail'!H230</f>
        <v>33.573298601550775</v>
      </c>
      <c r="I152" s="46">
        <f xml:space="preserve"> 'INPUTS│Residential Retail'!I230</f>
        <v>33.999964876199563</v>
      </c>
    </row>
    <row r="153" spans="2:10" x14ac:dyDescent="0.3">
      <c r="C153" s="8" t="s">
        <v>94</v>
      </c>
      <c r="D153" s="11" t="s">
        <v>127</v>
      </c>
      <c r="E153" s="46">
        <f xml:space="preserve"> 'INPUTS│Residential Retail'!E231</f>
        <v>58.506976711910802</v>
      </c>
      <c r="F153" s="46">
        <f xml:space="preserve"> 'INPUTS│Residential Retail'!F231</f>
        <v>57.4836867533215</v>
      </c>
      <c r="G153" s="46">
        <f xml:space="preserve"> 'INPUTS│Residential Retail'!G231</f>
        <v>53.310918510807703</v>
      </c>
      <c r="H153" s="46">
        <f xml:space="preserve"> 'INPUTS│Residential Retail'!H231</f>
        <v>49.240950120087199</v>
      </c>
      <c r="I153" s="46">
        <f xml:space="preserve"> 'INPUTS│Residential Retail'!I231</f>
        <v>50.518120938587202</v>
      </c>
    </row>
    <row r="154" spans="2:10" x14ac:dyDescent="0.3">
      <c r="C154" s="8" t="s">
        <v>96</v>
      </c>
      <c r="D154" s="11" t="s">
        <v>127</v>
      </c>
      <c r="E154" s="46">
        <f xml:space="preserve"> 'INPUTS│Residential Retail'!E232</f>
        <v>149.27391074188299</v>
      </c>
      <c r="F154" s="46">
        <f xml:space="preserve"> 'INPUTS│Residential Retail'!F232</f>
        <v>150.54493283612399</v>
      </c>
      <c r="G154" s="46">
        <f xml:space="preserve"> 'INPUTS│Residential Retail'!G232</f>
        <v>153.93541196603499</v>
      </c>
      <c r="H154" s="46">
        <f xml:space="preserve"> 'INPUTS│Residential Retail'!H232</f>
        <v>155.63692334206999</v>
      </c>
      <c r="I154" s="46">
        <f xml:space="preserve"> 'INPUTS│Residential Retail'!I232</f>
        <v>160.041412984224</v>
      </c>
    </row>
    <row r="155" spans="2:10" x14ac:dyDescent="0.3">
      <c r="C155" s="8" t="s">
        <v>98</v>
      </c>
      <c r="D155" s="11" t="s">
        <v>127</v>
      </c>
      <c r="E155" s="46">
        <f xml:space="preserve"> 'INPUTS│Residential Retail'!E233</f>
        <v>120.292214043694</v>
      </c>
      <c r="F155" s="46">
        <f xml:space="preserve"> 'INPUTS│Residential Retail'!F233</f>
        <v>115.37487067644</v>
      </c>
      <c r="G155" s="46">
        <f xml:space="preserve"> 'INPUTS│Residential Retail'!G233</f>
        <v>108.78954667009999</v>
      </c>
      <c r="H155" s="46">
        <f xml:space="preserve"> 'INPUTS│Residential Retail'!H233</f>
        <v>103.392472210788</v>
      </c>
      <c r="I155" s="46">
        <f xml:space="preserve"> 'INPUTS│Residential Retail'!I233</f>
        <v>105.369421632607</v>
      </c>
    </row>
    <row r="156" spans="2:10" x14ac:dyDescent="0.3">
      <c r="C156" s="8" t="s">
        <v>100</v>
      </c>
      <c r="D156" s="11" t="s">
        <v>127</v>
      </c>
      <c r="E156" s="46">
        <f xml:space="preserve"> 'INPUTS│Residential Retail'!E234</f>
        <v>29.401890538933301</v>
      </c>
      <c r="F156" s="46">
        <f xml:space="preserve"> 'INPUTS│Residential Retail'!F234</f>
        <v>30.426535909715501</v>
      </c>
      <c r="G156" s="46">
        <f xml:space="preserve"> 'INPUTS│Residential Retail'!G234</f>
        <v>31.607955313440801</v>
      </c>
      <c r="H156" s="46">
        <f xml:space="preserve"> 'INPUTS│Residential Retail'!H234</f>
        <v>32.635464309549</v>
      </c>
      <c r="I156" s="46">
        <f xml:space="preserve"> 'INPUTS│Residential Retail'!I234</f>
        <v>33.818081814128597</v>
      </c>
    </row>
    <row r="157" spans="2:10" x14ac:dyDescent="0.3">
      <c r="C157" s="8" t="s">
        <v>102</v>
      </c>
      <c r="D157" s="11" t="s">
        <v>127</v>
      </c>
      <c r="E157" s="46">
        <f xml:space="preserve"> 'INPUTS│Residential Retail'!E235</f>
        <v>51.773516277613901</v>
      </c>
      <c r="F157" s="46">
        <f xml:space="preserve"> 'INPUTS│Residential Retail'!F235</f>
        <v>53.243877186477597</v>
      </c>
      <c r="G157" s="46">
        <f xml:space="preserve"> 'INPUTS│Residential Retail'!G235</f>
        <v>54.916822106802698</v>
      </c>
      <c r="H157" s="46">
        <f xml:space="preserve"> 'INPUTS│Residential Retail'!H235</f>
        <v>56.716900341790598</v>
      </c>
      <c r="I157" s="46">
        <f xml:space="preserve"> 'INPUTS│Residential Retail'!I235</f>
        <v>58.595779342575703</v>
      </c>
    </row>
    <row r="158" spans="2:10" x14ac:dyDescent="0.3">
      <c r="C158" s="8" t="s">
        <v>104</v>
      </c>
      <c r="D158" s="11" t="s">
        <v>127</v>
      </c>
      <c r="E158" s="46">
        <f xml:space="preserve"> 'INPUTS│Residential Retail'!E236</f>
        <v>26.475074447779701</v>
      </c>
      <c r="F158" s="46">
        <f xml:space="preserve"> 'INPUTS│Residential Retail'!F236</f>
        <v>26.392290805440901</v>
      </c>
      <c r="G158" s="46">
        <f xml:space="preserve"> 'INPUTS│Residential Retail'!G236</f>
        <v>26.249996507232801</v>
      </c>
      <c r="H158" s="46">
        <f xml:space="preserve"> 'INPUTS│Residential Retail'!H236</f>
        <v>26.007951525860399</v>
      </c>
      <c r="I158" s="46">
        <f xml:space="preserve"> 'INPUTS│Residential Retail'!I236</f>
        <v>26.374537454855901</v>
      </c>
    </row>
    <row r="159" spans="2:10" x14ac:dyDescent="0.3">
      <c r="C159" s="8" t="s">
        <v>106</v>
      </c>
      <c r="D159" s="11" t="s">
        <v>127</v>
      </c>
      <c r="E159" s="46">
        <f xml:space="preserve"> 'INPUTS│Residential Retail'!E237</f>
        <v>9.5856814954396796</v>
      </c>
      <c r="F159" s="46">
        <f xml:space="preserve"> 'INPUTS│Residential Retail'!F237</f>
        <v>10.054459891616</v>
      </c>
      <c r="G159" s="46">
        <f xml:space="preserve"> 'INPUTS│Residential Retail'!G237</f>
        <v>10.514556763213699</v>
      </c>
      <c r="H159" s="46">
        <f xml:space="preserve"> 'INPUTS│Residential Retail'!H237</f>
        <v>10.9682856687919</v>
      </c>
      <c r="I159" s="46">
        <f xml:space="preserve"> 'INPUTS│Residential Retail'!I237</f>
        <v>11.5632274436645</v>
      </c>
    </row>
    <row r="160" spans="2:10" x14ac:dyDescent="0.3">
      <c r="C160" s="8" t="s">
        <v>108</v>
      </c>
      <c r="D160" s="11" t="s">
        <v>127</v>
      </c>
      <c r="E160" s="46">
        <f xml:space="preserve"> 'INPUTS│Residential Retail'!E238</f>
        <v>4.2370931848370299</v>
      </c>
      <c r="F160" s="46">
        <f xml:space="preserve"> 'INPUTS│Residential Retail'!F238</f>
        <v>4.3123336398624001</v>
      </c>
      <c r="G160" s="46">
        <f xml:space="preserve"> 'INPUTS│Residential Retail'!G238</f>
        <v>4.3875740948877802</v>
      </c>
      <c r="H160" s="46">
        <f xml:space="preserve"> 'INPUTS│Residential Retail'!H238</f>
        <v>4.4679299410783004</v>
      </c>
      <c r="I160" s="46">
        <f xml:space="preserve"> 'INPUTS│Residential Retail'!I238</f>
        <v>4.5462280916862499</v>
      </c>
    </row>
    <row r="161" spans="2:10" x14ac:dyDescent="0.3">
      <c r="C161" s="8" t="s">
        <v>112</v>
      </c>
      <c r="D161" s="11" t="s">
        <v>127</v>
      </c>
      <c r="E161" s="46">
        <f xml:space="preserve"> 'INPUTS│Residential Retail'!E239</f>
        <v>18.692465149428099</v>
      </c>
      <c r="F161" s="46">
        <f xml:space="preserve"> 'INPUTS│Residential Retail'!F239</f>
        <v>19.222941225828698</v>
      </c>
      <c r="G161" s="46">
        <f xml:space="preserve"> 'INPUTS│Residential Retail'!G239</f>
        <v>19.7336166630534</v>
      </c>
      <c r="H161" s="46">
        <f xml:space="preserve"> 'INPUTS│Residential Retail'!H239</f>
        <v>20.125285214164201</v>
      </c>
      <c r="I161" s="46">
        <f xml:space="preserve"> 'INPUTS│Residential Retail'!I239</f>
        <v>20.745374474518499</v>
      </c>
    </row>
    <row r="162" spans="2:10" x14ac:dyDescent="0.3">
      <c r="C162" s="8" t="s">
        <v>114</v>
      </c>
      <c r="D162" s="11" t="s">
        <v>127</v>
      </c>
      <c r="E162" s="46">
        <f xml:space="preserve"> 'INPUTS│Residential Retail'!E240</f>
        <v>13.9064452286958</v>
      </c>
      <c r="F162" s="46">
        <f xml:space="preserve"> 'INPUTS│Residential Retail'!F240</f>
        <v>14.1723194094302</v>
      </c>
      <c r="G162" s="46">
        <f xml:space="preserve"> 'INPUTS│Residential Retail'!G240</f>
        <v>14.681235485238499</v>
      </c>
      <c r="H162" s="46">
        <f xml:space="preserve"> 'INPUTS│Residential Retail'!H240</f>
        <v>15.511407516512801</v>
      </c>
      <c r="I162" s="46">
        <f xml:space="preserve"> 'INPUTS│Residential Retail'!I240</f>
        <v>15.834536663396101</v>
      </c>
    </row>
    <row r="163" spans="2:10" x14ac:dyDescent="0.3">
      <c r="C163" s="8" t="s">
        <v>110</v>
      </c>
      <c r="D163" s="11" t="s">
        <v>127</v>
      </c>
      <c r="E163" s="46">
        <f xml:space="preserve"> 'INPUTS│Residential Retail'!E241</f>
        <v>5.3633825069840801</v>
      </c>
      <c r="F163" s="46">
        <f xml:space="preserve"> 'INPUTS│Residential Retail'!F241</f>
        <v>5.4207342540642696</v>
      </c>
      <c r="G163" s="46">
        <f xml:space="preserve"> 'INPUTS│Residential Retail'!G241</f>
        <v>5.62549552600181</v>
      </c>
      <c r="H163" s="46">
        <f xml:space="preserve"> 'INPUTS│Residential Retail'!H241</f>
        <v>5.6000588225662602</v>
      </c>
      <c r="I163" s="46">
        <f xml:space="preserve"> 'INPUTS│Residential Retail'!I241</f>
        <v>5.5872312932757904</v>
      </c>
    </row>
    <row r="165" spans="2:10" ht="13.5" x14ac:dyDescent="0.35">
      <c r="B165" s="32" t="s">
        <v>417</v>
      </c>
      <c r="C165" s="32"/>
      <c r="D165" s="33"/>
      <c r="E165" s="32"/>
      <c r="F165" s="32"/>
      <c r="G165" s="32"/>
      <c r="H165" s="32"/>
      <c r="I165" s="32"/>
      <c r="J165" s="32"/>
    </row>
    <row r="167" spans="2:10" x14ac:dyDescent="0.3">
      <c r="C167" s="8" t="s">
        <v>80</v>
      </c>
      <c r="D167" s="11" t="s">
        <v>133</v>
      </c>
      <c r="E167" s="172">
        <f xml:space="preserve"> IFERROR( E147 / E127, 0 )</f>
        <v>0.8858593443436521</v>
      </c>
      <c r="F167" s="172">
        <f xml:space="preserve"> IFERROR( F147 / F127, 0 )</f>
        <v>0.88550636320786213</v>
      </c>
      <c r="G167" s="172">
        <f xml:space="preserve"> IFERROR( G147 / G127, 0 )</f>
        <v>0.88409858372538153</v>
      </c>
      <c r="H167" s="172">
        <f xml:space="preserve"> IFERROR( H147 / H127, 0 )</f>
        <v>0.88218421428813165</v>
      </c>
      <c r="I167" s="172">
        <f xml:space="preserve"> IFERROR( I147 / I127, 0 )</f>
        <v>0.88032878055805019</v>
      </c>
    </row>
    <row r="168" spans="2:10" x14ac:dyDescent="0.3">
      <c r="C168" s="8" t="s">
        <v>82</v>
      </c>
      <c r="D168" s="11" t="s">
        <v>133</v>
      </c>
      <c r="E168" s="172">
        <f t="shared" ref="E168:I183" si="1" xml:space="preserve"> IFERROR( E148 / E128, 0 )</f>
        <v>0.90133953410074175</v>
      </c>
      <c r="F168" s="172">
        <f t="shared" si="1"/>
        <v>0.89611669253229187</v>
      </c>
      <c r="G168" s="172">
        <f t="shared" si="1"/>
        <v>0.89067087470227957</v>
      </c>
      <c r="H168" s="172">
        <f t="shared" si="1"/>
        <v>0.88472343106477835</v>
      </c>
      <c r="I168" s="172">
        <f t="shared" si="1"/>
        <v>0.88168452805115227</v>
      </c>
    </row>
    <row r="169" spans="2:10" x14ac:dyDescent="0.3">
      <c r="C169" s="8" t="s">
        <v>85</v>
      </c>
      <c r="D169" s="11" t="s">
        <v>133</v>
      </c>
      <c r="E169" s="172">
        <f t="shared" si="1"/>
        <v>0.93841819128734028</v>
      </c>
      <c r="F169" s="172">
        <f t="shared" si="1"/>
        <v>0.93687998574479814</v>
      </c>
      <c r="G169" s="172">
        <f t="shared" si="1"/>
        <v>0.9352367901454044</v>
      </c>
      <c r="H169" s="172">
        <f t="shared" si="1"/>
        <v>0.92546405824676847</v>
      </c>
      <c r="I169" s="172">
        <f t="shared" si="1"/>
        <v>0.92067837450794909</v>
      </c>
    </row>
    <row r="170" spans="2:10" x14ac:dyDescent="0.3">
      <c r="C170" s="8" t="s">
        <v>87</v>
      </c>
      <c r="D170" s="11" t="s">
        <v>133</v>
      </c>
      <c r="E170" s="172">
        <f t="shared" si="1"/>
        <v>0.89859766845271916</v>
      </c>
      <c r="F170" s="172">
        <f t="shared" si="1"/>
        <v>0.89688123442496381</v>
      </c>
      <c r="G170" s="172">
        <f t="shared" si="1"/>
        <v>0.89458292502063486</v>
      </c>
      <c r="H170" s="172">
        <f t="shared" si="1"/>
        <v>0.89239502957573036</v>
      </c>
      <c r="I170" s="172">
        <f t="shared" si="1"/>
        <v>0.89027494518120365</v>
      </c>
    </row>
    <row r="171" spans="2:10" x14ac:dyDescent="0.3">
      <c r="C171" s="8" t="s">
        <v>89</v>
      </c>
      <c r="D171" s="11" t="s">
        <v>133</v>
      </c>
      <c r="E171" s="172">
        <f t="shared" si="1"/>
        <v>0.90250179112287809</v>
      </c>
      <c r="F171" s="172">
        <f t="shared" si="1"/>
        <v>0.9026454596353749</v>
      </c>
      <c r="G171" s="172">
        <f t="shared" si="1"/>
        <v>0.90213864725636728</v>
      </c>
      <c r="H171" s="172">
        <f t="shared" si="1"/>
        <v>0.90076946828726778</v>
      </c>
      <c r="I171" s="172">
        <f t="shared" si="1"/>
        <v>0.89926167993233397</v>
      </c>
    </row>
    <row r="172" spans="2:10" x14ac:dyDescent="0.3">
      <c r="C172" s="8" t="s">
        <v>91</v>
      </c>
      <c r="D172" s="11" t="s">
        <v>133</v>
      </c>
      <c r="E172" s="172">
        <f t="shared" si="1"/>
        <v>0.89188559205189344</v>
      </c>
      <c r="F172" s="172">
        <f t="shared" si="1"/>
        <v>0.89030122467173567</v>
      </c>
      <c r="G172" s="172">
        <f t="shared" si="1"/>
        <v>0.8884127387447186</v>
      </c>
      <c r="H172" s="172">
        <f t="shared" si="1"/>
        <v>0.88564701798688883</v>
      </c>
      <c r="I172" s="172">
        <f t="shared" si="1"/>
        <v>0.88367143822403171</v>
      </c>
    </row>
    <row r="173" spans="2:10" x14ac:dyDescent="0.3">
      <c r="C173" s="8" t="s">
        <v>94</v>
      </c>
      <c r="D173" s="11" t="s">
        <v>133</v>
      </c>
      <c r="E173" s="172">
        <f t="shared" si="1"/>
        <v>0.90059553663956915</v>
      </c>
      <c r="F173" s="172">
        <f t="shared" si="1"/>
        <v>0.89572728618442454</v>
      </c>
      <c r="G173" s="172">
        <f t="shared" si="1"/>
        <v>0.88508493032046875</v>
      </c>
      <c r="H173" s="172">
        <f t="shared" si="1"/>
        <v>0.87327117474567351</v>
      </c>
      <c r="I173" s="172">
        <f t="shared" si="1"/>
        <v>0.8718697783244872</v>
      </c>
    </row>
    <row r="174" spans="2:10" x14ac:dyDescent="0.3">
      <c r="C174" s="8" t="s">
        <v>96</v>
      </c>
      <c r="D174" s="11" t="s">
        <v>133</v>
      </c>
      <c r="E174" s="172">
        <f t="shared" si="1"/>
        <v>0.90147608123124601</v>
      </c>
      <c r="F174" s="172">
        <f t="shared" si="1"/>
        <v>0.89659009747281548</v>
      </c>
      <c r="G174" s="172">
        <f t="shared" si="1"/>
        <v>0.894429518823049</v>
      </c>
      <c r="H174" s="172">
        <f t="shared" si="1"/>
        <v>0.89008769691826128</v>
      </c>
      <c r="I174" s="172">
        <f t="shared" si="1"/>
        <v>0.88805329706698621</v>
      </c>
    </row>
    <row r="175" spans="2:10" x14ac:dyDescent="0.3">
      <c r="C175" s="8" t="s">
        <v>98</v>
      </c>
      <c r="D175" s="11" t="s">
        <v>133</v>
      </c>
      <c r="E175" s="172">
        <f t="shared" si="1"/>
        <v>0.91078026227813291</v>
      </c>
      <c r="F175" s="172">
        <f t="shared" si="1"/>
        <v>0.90447658864193636</v>
      </c>
      <c r="G175" s="172">
        <f t="shared" si="1"/>
        <v>0.89621951532412314</v>
      </c>
      <c r="H175" s="172">
        <f t="shared" si="1"/>
        <v>0.88813586050957949</v>
      </c>
      <c r="I175" s="172">
        <f t="shared" si="1"/>
        <v>0.88657235823702607</v>
      </c>
    </row>
    <row r="176" spans="2:10" x14ac:dyDescent="0.3">
      <c r="C176" s="8" t="s">
        <v>100</v>
      </c>
      <c r="D176" s="11" t="s">
        <v>133</v>
      </c>
      <c r="E176" s="172">
        <f t="shared" si="1"/>
        <v>0.88550789696971377</v>
      </c>
      <c r="F176" s="172">
        <f t="shared" si="1"/>
        <v>0.88504886268262395</v>
      </c>
      <c r="G176" s="172">
        <f t="shared" si="1"/>
        <v>0.88478238877569593</v>
      </c>
      <c r="H176" s="172">
        <f t="shared" si="1"/>
        <v>0.88414919828235095</v>
      </c>
      <c r="I176" s="172">
        <f t="shared" si="1"/>
        <v>0.88398063342187005</v>
      </c>
    </row>
    <row r="177" spans="2:10" x14ac:dyDescent="0.3">
      <c r="C177" s="8" t="s">
        <v>102</v>
      </c>
      <c r="D177" s="11" t="s">
        <v>133</v>
      </c>
      <c r="E177" s="172">
        <f t="shared" si="1"/>
        <v>0.87319119619694086</v>
      </c>
      <c r="F177" s="172">
        <f t="shared" si="1"/>
        <v>0.8719382800946166</v>
      </c>
      <c r="G177" s="172">
        <f t="shared" si="1"/>
        <v>0.87093187246662884</v>
      </c>
      <c r="H177" s="172">
        <f t="shared" si="1"/>
        <v>0.87003085488068332</v>
      </c>
      <c r="I177" s="172">
        <f t="shared" si="1"/>
        <v>0.86923543328065089</v>
      </c>
    </row>
    <row r="178" spans="2:10" x14ac:dyDescent="0.3">
      <c r="C178" s="8" t="s">
        <v>104</v>
      </c>
      <c r="D178" s="11" t="s">
        <v>133</v>
      </c>
      <c r="E178" s="172">
        <f t="shared" si="1"/>
        <v>0.91646042317706311</v>
      </c>
      <c r="F178" s="172">
        <f t="shared" si="1"/>
        <v>0.91406548788475961</v>
      </c>
      <c r="G178" s="172">
        <f t="shared" si="1"/>
        <v>0.91275360947974671</v>
      </c>
      <c r="H178" s="172">
        <f t="shared" si="1"/>
        <v>0.91044073921658131</v>
      </c>
      <c r="I178" s="172">
        <f t="shared" si="1"/>
        <v>0.90974081868482837</v>
      </c>
    </row>
    <row r="179" spans="2:10" x14ac:dyDescent="0.3">
      <c r="C179" s="8" t="s">
        <v>106</v>
      </c>
      <c r="D179" s="11" t="s">
        <v>133</v>
      </c>
      <c r="E179" s="172">
        <f t="shared" si="1"/>
        <v>0.91870166980821411</v>
      </c>
      <c r="F179" s="172">
        <f t="shared" si="1"/>
        <v>0.92452420154428083</v>
      </c>
      <c r="G179" s="172">
        <f t="shared" si="1"/>
        <v>0.92469845049683053</v>
      </c>
      <c r="H179" s="172">
        <f t="shared" si="1"/>
        <v>0.92509464390798901</v>
      </c>
      <c r="I179" s="172">
        <f t="shared" si="1"/>
        <v>0.92621850513538984</v>
      </c>
    </row>
    <row r="180" spans="2:10" x14ac:dyDescent="0.3">
      <c r="C180" s="8" t="s">
        <v>108</v>
      </c>
      <c r="D180" s="11" t="s">
        <v>133</v>
      </c>
      <c r="E180" s="172">
        <f t="shared" si="1"/>
        <v>0.93743732145273284</v>
      </c>
      <c r="F180" s="172">
        <f t="shared" si="1"/>
        <v>0.93626878922949885</v>
      </c>
      <c r="G180" s="172">
        <f t="shared" si="1"/>
        <v>0.93495066409142169</v>
      </c>
      <c r="H180" s="172">
        <f t="shared" si="1"/>
        <v>0.93373950342713385</v>
      </c>
      <c r="I180" s="172">
        <f t="shared" si="1"/>
        <v>0.93257520906082725</v>
      </c>
    </row>
    <row r="181" spans="2:10" x14ac:dyDescent="0.3">
      <c r="C181" s="8" t="s">
        <v>112</v>
      </c>
      <c r="D181" s="11" t="s">
        <v>133</v>
      </c>
      <c r="E181" s="172">
        <f t="shared" si="1"/>
        <v>0.91832950666112745</v>
      </c>
      <c r="F181" s="172">
        <f t="shared" si="1"/>
        <v>0.91752671336113323</v>
      </c>
      <c r="G181" s="172">
        <f t="shared" si="1"/>
        <v>0.9163471729202376</v>
      </c>
      <c r="H181" s="172">
        <f t="shared" si="1"/>
        <v>0.9151005656663691</v>
      </c>
      <c r="I181" s="172">
        <f t="shared" si="1"/>
        <v>0.91471154080196715</v>
      </c>
    </row>
    <row r="182" spans="2:10" x14ac:dyDescent="0.3">
      <c r="C182" s="8" t="s">
        <v>114</v>
      </c>
      <c r="D182" s="11" t="s">
        <v>133</v>
      </c>
      <c r="E182" s="172">
        <f t="shared" si="1"/>
        <v>0.93803840992643595</v>
      </c>
      <c r="F182" s="172">
        <f t="shared" si="1"/>
        <v>0.93778959942078866</v>
      </c>
      <c r="G182" s="172">
        <f t="shared" si="1"/>
        <v>0.93785005301629032</v>
      </c>
      <c r="H182" s="172">
        <f t="shared" si="1"/>
        <v>0.93937034261797303</v>
      </c>
      <c r="I182" s="172">
        <f t="shared" si="1"/>
        <v>0.93876068099603183</v>
      </c>
    </row>
    <row r="183" spans="2:10" x14ac:dyDescent="0.3">
      <c r="C183" s="8" t="s">
        <v>110</v>
      </c>
      <c r="D183" s="11" t="s">
        <v>133</v>
      </c>
      <c r="E183" s="172">
        <f t="shared" si="1"/>
        <v>0.91559281103001633</v>
      </c>
      <c r="F183" s="172">
        <f t="shared" si="1"/>
        <v>0.913803161170199</v>
      </c>
      <c r="G183" s="172">
        <f t="shared" si="1"/>
        <v>0.91380219910488802</v>
      </c>
      <c r="H183" s="172">
        <f t="shared" si="1"/>
        <v>0.91058209719447336</v>
      </c>
      <c r="I183" s="172">
        <f t="shared" si="1"/>
        <v>0.90728034959750348</v>
      </c>
    </row>
    <row r="185" spans="2:10" ht="13.5" x14ac:dyDescent="0.35">
      <c r="B185" s="32" t="s">
        <v>418</v>
      </c>
      <c r="C185" s="32"/>
      <c r="D185" s="33"/>
      <c r="E185" s="32"/>
      <c r="F185" s="32"/>
      <c r="G185" s="32"/>
      <c r="H185" s="32"/>
      <c r="I185" s="32"/>
      <c r="J185" s="32"/>
    </row>
    <row r="187" spans="2:10" x14ac:dyDescent="0.3">
      <c r="C187" s="8" t="s">
        <v>80</v>
      </c>
      <c r="D187" s="11" t="s">
        <v>127</v>
      </c>
      <c r="E187" s="46">
        <f xml:space="preserve"> 'INPUTS│Residential Retail'!E245</f>
        <v>0.44459397568258602</v>
      </c>
      <c r="F187" s="46">
        <f xml:space="preserve"> 'INPUTS│Residential Retail'!F245</f>
        <v>0.21935021961416501</v>
      </c>
      <c r="G187" s="46">
        <f xml:space="preserve"> 'INPUTS│Residential Retail'!G245</f>
        <v>0.14750721232071701</v>
      </c>
      <c r="H187" s="46">
        <f xml:space="preserve"> 'INPUTS│Residential Retail'!H245</f>
        <v>0.119674792483659</v>
      </c>
      <c r="I187" s="46">
        <f xml:space="preserve"> 'INPUTS│Residential Retail'!I245</f>
        <v>3.4421922010499997E-2</v>
      </c>
    </row>
    <row r="188" spans="2:10" x14ac:dyDescent="0.3">
      <c r="C188" s="8" t="s">
        <v>82</v>
      </c>
      <c r="D188" s="11" t="s">
        <v>127</v>
      </c>
      <c r="E188" s="46">
        <f xml:space="preserve"> 'INPUTS│Residential Retail'!E246</f>
        <v>3.12</v>
      </c>
      <c r="F188" s="46">
        <f xml:space="preserve"> 'INPUTS│Residential Retail'!F246</f>
        <v>3</v>
      </c>
      <c r="G188" s="46">
        <f xml:space="preserve"> 'INPUTS│Residential Retail'!G246</f>
        <v>2.8149999999999999</v>
      </c>
      <c r="H188" s="46">
        <f xml:space="preserve"> 'INPUTS│Residential Retail'!H246</f>
        <v>2.7370000000000001</v>
      </c>
      <c r="I188" s="46">
        <f xml:space="preserve"> 'INPUTS│Residential Retail'!I246</f>
        <v>2.7320000000000002</v>
      </c>
    </row>
    <row r="189" spans="2:10" x14ac:dyDescent="0.3">
      <c r="C189" s="8" t="s">
        <v>85</v>
      </c>
      <c r="D189" s="11" t="s">
        <v>127</v>
      </c>
      <c r="E189" s="46">
        <f xml:space="preserve"> 'INPUTS│Residential Retail'!E247</f>
        <v>3.9E-2</v>
      </c>
      <c r="F189" s="46">
        <f xml:space="preserve"> 'INPUTS│Residential Retail'!F247</f>
        <v>3.9E-2</v>
      </c>
      <c r="G189" s="46">
        <f xml:space="preserve"> 'INPUTS│Residential Retail'!G247</f>
        <v>3.9E-2</v>
      </c>
      <c r="H189" s="46">
        <f xml:space="preserve"> 'INPUTS│Residential Retail'!H247</f>
        <v>3.9E-2</v>
      </c>
      <c r="I189" s="46">
        <f xml:space="preserve"> 'INPUTS│Residential Retail'!I247</f>
        <v>3.9E-2</v>
      </c>
    </row>
    <row r="190" spans="2:10" x14ac:dyDescent="0.3">
      <c r="C190" s="8" t="s">
        <v>87</v>
      </c>
      <c r="D190" s="11" t="s">
        <v>127</v>
      </c>
      <c r="E190" s="46">
        <f xml:space="preserve"> 'INPUTS│Residential Retail'!E248</f>
        <v>0.83259413699437501</v>
      </c>
      <c r="F190" s="46">
        <f xml:space="preserve"> 'INPUTS│Residential Retail'!F248</f>
        <v>0.70673889187886596</v>
      </c>
      <c r="G190" s="46">
        <f xml:space="preserve"> 'INPUTS│Residential Retail'!G248</f>
        <v>0.56974851329627796</v>
      </c>
      <c r="H190" s="46">
        <f xml:space="preserve"> 'INPUTS│Residential Retail'!H248</f>
        <v>0.47135275535805798</v>
      </c>
      <c r="I190" s="46">
        <f xml:space="preserve"> 'INPUTS│Residential Retail'!I248</f>
        <v>0.76103862999679295</v>
      </c>
    </row>
    <row r="191" spans="2:10" x14ac:dyDescent="0.3">
      <c r="C191" s="8" t="s">
        <v>89</v>
      </c>
      <c r="D191" s="11" t="s">
        <v>127</v>
      </c>
      <c r="E191" s="46">
        <f xml:space="preserve"> 'INPUTS│Residential Retail'!E249</f>
        <v>3.5064506078156401</v>
      </c>
      <c r="F191" s="46">
        <f xml:space="preserve"> 'INPUTS│Residential Retail'!F249</f>
        <v>2.5334308112799699</v>
      </c>
      <c r="G191" s="46">
        <f xml:space="preserve"> 'INPUTS│Residential Retail'!G249</f>
        <v>2.2258735380328898</v>
      </c>
      <c r="H191" s="46">
        <f xml:space="preserve"> 'INPUTS│Residential Retail'!H249</f>
        <v>1.5701797126478301</v>
      </c>
      <c r="I191" s="46">
        <f xml:space="preserve"> 'INPUTS│Residential Retail'!I249</f>
        <v>1.2916343431078701</v>
      </c>
    </row>
    <row r="192" spans="2:10" x14ac:dyDescent="0.3">
      <c r="C192" s="8" t="s">
        <v>91</v>
      </c>
      <c r="D192" s="11" t="s">
        <v>127</v>
      </c>
      <c r="E192" s="46">
        <f xml:space="preserve"> 'INPUTS│Residential Retail'!E250</f>
        <v>2.2519999999999998</v>
      </c>
      <c r="F192" s="46">
        <f xml:space="preserve"> 'INPUTS│Residential Retail'!F250</f>
        <v>1.6479999999999999</v>
      </c>
      <c r="G192" s="46">
        <f xml:space="preserve"> 'INPUTS│Residential Retail'!G250</f>
        <v>1.421</v>
      </c>
      <c r="H192" s="46">
        <f xml:space="preserve"> 'INPUTS│Residential Retail'!H250</f>
        <v>1.1930000000000001</v>
      </c>
      <c r="I192" s="46">
        <f xml:space="preserve"> 'INPUTS│Residential Retail'!I250</f>
        <v>0.71099999999999997</v>
      </c>
    </row>
    <row r="193" spans="2:10" x14ac:dyDescent="0.3">
      <c r="C193" s="8" t="s">
        <v>94</v>
      </c>
      <c r="D193" s="11" t="s">
        <v>127</v>
      </c>
      <c r="E193" s="46">
        <f xml:space="preserve"> 'INPUTS│Residential Retail'!E251</f>
        <v>5.0919999999999996</v>
      </c>
      <c r="F193" s="46">
        <f xml:space="preserve"> 'INPUTS│Residential Retail'!F251</f>
        <v>4.4660000000000002</v>
      </c>
      <c r="G193" s="46">
        <f xml:space="preserve"> 'INPUTS│Residential Retail'!G251</f>
        <v>4.0030000000000001</v>
      </c>
      <c r="H193" s="46">
        <f xml:space="preserve"> 'INPUTS│Residential Retail'!H251</f>
        <v>3.38</v>
      </c>
      <c r="I193" s="46">
        <f xml:space="preserve"> 'INPUTS│Residential Retail'!I251</f>
        <v>3.12</v>
      </c>
    </row>
    <row r="194" spans="2:10" x14ac:dyDescent="0.3">
      <c r="C194" s="8" t="s">
        <v>96</v>
      </c>
      <c r="D194" s="11" t="s">
        <v>127</v>
      </c>
      <c r="E194" s="46">
        <f xml:space="preserve"> 'INPUTS│Residential Retail'!E252</f>
        <v>7.4306522188191497</v>
      </c>
      <c r="F194" s="46">
        <f xml:space="preserve"> 'INPUTS│Residential Retail'!F252</f>
        <v>6.9884093464106805</v>
      </c>
      <c r="G194" s="46">
        <f xml:space="preserve"> 'INPUTS│Residential Retail'!G252</f>
        <v>4.2912138058975202</v>
      </c>
      <c r="H194" s="46">
        <f xml:space="preserve"> 'INPUTS│Residential Retail'!H252</f>
        <v>2.6554011591646693</v>
      </c>
      <c r="I194" s="46">
        <f xml:space="preserve"> 'INPUTS│Residential Retail'!I252</f>
        <v>0.68231757457305997</v>
      </c>
    </row>
    <row r="195" spans="2:10" x14ac:dyDescent="0.3">
      <c r="C195" s="8" t="s">
        <v>98</v>
      </c>
      <c r="D195" s="11" t="s">
        <v>127</v>
      </c>
      <c r="E195" s="46">
        <f xml:space="preserve"> 'INPUTS│Residential Retail'!E253</f>
        <v>5.4535751847220801</v>
      </c>
      <c r="F195" s="46">
        <f xml:space="preserve"> 'INPUTS│Residential Retail'!F253</f>
        <v>4.9591345727330296</v>
      </c>
      <c r="G195" s="46">
        <f xml:space="preserve"> 'INPUTS│Residential Retail'!G253</f>
        <v>4.8295161198574403</v>
      </c>
      <c r="H195" s="46">
        <f xml:space="preserve"> 'INPUTS│Residential Retail'!H253</f>
        <v>3.8134955923541001</v>
      </c>
      <c r="I195" s="46">
        <f xml:space="preserve"> 'INPUTS│Residential Retail'!I253</f>
        <v>2.8151020317122701</v>
      </c>
    </row>
    <row r="196" spans="2:10" x14ac:dyDescent="0.3">
      <c r="C196" s="8" t="s">
        <v>100</v>
      </c>
      <c r="D196" s="11" t="s">
        <v>127</v>
      </c>
      <c r="E196" s="46">
        <f xml:space="preserve"> 'INPUTS│Residential Retail'!E254</f>
        <v>0.70272878406883499</v>
      </c>
      <c r="F196" s="46">
        <f xml:space="preserve"> 'INPUTS│Residential Retail'!F254</f>
        <v>0.70272878406883499</v>
      </c>
      <c r="G196" s="46">
        <f xml:space="preserve"> 'INPUTS│Residential Retail'!G254</f>
        <v>0.70272878406883499</v>
      </c>
      <c r="H196" s="46">
        <f xml:space="preserve"> 'INPUTS│Residential Retail'!H254</f>
        <v>0.70272878406883499</v>
      </c>
      <c r="I196" s="46">
        <f xml:space="preserve"> 'INPUTS│Residential Retail'!I254</f>
        <v>0.70272878406883499</v>
      </c>
    </row>
    <row r="197" spans="2:10" x14ac:dyDescent="0.3">
      <c r="C197" s="8" t="s">
        <v>102</v>
      </c>
      <c r="D197" s="11" t="s">
        <v>127</v>
      </c>
      <c r="E197" s="46">
        <f xml:space="preserve"> 'INPUTS│Residential Retail'!E255</f>
        <v>4.1520032163945499</v>
      </c>
      <c r="F197" s="46">
        <f xml:space="preserve"> 'INPUTS│Residential Retail'!F255</f>
        <v>3.72652952749154</v>
      </c>
      <c r="G197" s="46">
        <f xml:space="preserve"> 'INPUTS│Residential Retail'!G255</f>
        <v>3.05513945745431</v>
      </c>
      <c r="H197" s="46">
        <f xml:space="preserve"> 'INPUTS│Residential Retail'!H255</f>
        <v>1.24072694310899</v>
      </c>
      <c r="I197" s="46">
        <f xml:space="preserve"> 'INPUTS│Residential Retail'!I255</f>
        <v>1.19602822048627</v>
      </c>
    </row>
    <row r="198" spans="2:10" x14ac:dyDescent="0.3">
      <c r="C198" s="8" t="s">
        <v>104</v>
      </c>
      <c r="D198" s="11" t="s">
        <v>127</v>
      </c>
      <c r="E198" s="46">
        <f xml:space="preserve"> 'INPUTS│Residential Retail'!E256</f>
        <v>1.7305229332185399</v>
      </c>
      <c r="F198" s="46">
        <f xml:space="preserve"> 'INPUTS│Residential Retail'!F256</f>
        <v>1.6754468631596799</v>
      </c>
      <c r="G198" s="46">
        <f xml:space="preserve"> 'INPUTS│Residential Retail'!G256</f>
        <v>1.6301293109941299</v>
      </c>
      <c r="H198" s="46">
        <f xml:space="preserve"> 'INPUTS│Residential Retail'!H256</f>
        <v>1.1896396162524701</v>
      </c>
      <c r="I198" s="46">
        <f xml:space="preserve"> 'INPUTS│Residential Retail'!I256</f>
        <v>0.16888299719754199</v>
      </c>
    </row>
    <row r="199" spans="2:10" x14ac:dyDescent="0.3">
      <c r="C199" s="8" t="s">
        <v>106</v>
      </c>
      <c r="D199" s="11" t="s">
        <v>127</v>
      </c>
      <c r="E199" s="46">
        <f xml:space="preserve"> 'INPUTS│Residential Retail'!E257</f>
        <v>0.23200000000000001</v>
      </c>
      <c r="F199" s="46">
        <f xml:space="preserve"> 'INPUTS│Residential Retail'!F257</f>
        <v>0.20799999999999999</v>
      </c>
      <c r="G199" s="46">
        <f xml:space="preserve"> 'INPUTS│Residential Retail'!G257</f>
        <v>0.14299999999999999</v>
      </c>
      <c r="H199" s="46">
        <f xml:space="preserve"> 'INPUTS│Residential Retail'!H257</f>
        <v>9.2999999999999999E-2</v>
      </c>
      <c r="I199" s="46">
        <f xml:space="preserve"> 'INPUTS│Residential Retail'!I257</f>
        <v>4.2000000000000003E-2</v>
      </c>
    </row>
    <row r="200" spans="2:10" x14ac:dyDescent="0.3">
      <c r="C200" s="8" t="s">
        <v>108</v>
      </c>
      <c r="D200" s="11" t="s">
        <v>127</v>
      </c>
      <c r="E200" s="46">
        <f xml:space="preserve"> 'INPUTS│Residential Retail'!E258</f>
        <v>0.12</v>
      </c>
      <c r="F200" s="46">
        <f xml:space="preserve"> 'INPUTS│Residential Retail'!F258</f>
        <v>0.122</v>
      </c>
      <c r="G200" s="46">
        <f xml:space="preserve"> 'INPUTS│Residential Retail'!G258</f>
        <v>8.5000000000000006E-2</v>
      </c>
      <c r="H200" s="46">
        <f xml:space="preserve"> 'INPUTS│Residential Retail'!H258</f>
        <v>8.1000000000000003E-2</v>
      </c>
      <c r="I200" s="46">
        <f xml:space="preserve"> 'INPUTS│Residential Retail'!I258</f>
        <v>7.8E-2</v>
      </c>
    </row>
    <row r="201" spans="2:10" x14ac:dyDescent="0.3">
      <c r="C201" s="8" t="s">
        <v>112</v>
      </c>
      <c r="D201" s="11" t="s">
        <v>127</v>
      </c>
      <c r="E201" s="46">
        <f xml:space="preserve"> 'INPUTS│Residential Retail'!E259</f>
        <v>0.73937991240643497</v>
      </c>
      <c r="F201" s="46">
        <f xml:space="preserve"> 'INPUTS│Residential Retail'!F259</f>
        <v>0.65046130977862804</v>
      </c>
      <c r="G201" s="46">
        <f xml:space="preserve"> 'INPUTS│Residential Retail'!G259</f>
        <v>0.36258211468201001</v>
      </c>
      <c r="H201" s="46">
        <f xml:space="preserve"> 'INPUTS│Residential Retail'!H259</f>
        <v>0.19849828339774001</v>
      </c>
      <c r="I201" s="46">
        <f xml:space="preserve"> 'INPUTS│Residential Retail'!I259</f>
        <v>0.12563411594983601</v>
      </c>
    </row>
    <row r="202" spans="2:10" x14ac:dyDescent="0.3">
      <c r="C202" s="8" t="s">
        <v>114</v>
      </c>
      <c r="D202" s="11" t="s">
        <v>127</v>
      </c>
      <c r="E202" s="46">
        <f xml:space="preserve"> 'INPUTS│Residential Retail'!E260</f>
        <v>0.99151567980501798</v>
      </c>
      <c r="F202" s="46">
        <f xml:space="preserve"> 'INPUTS│Residential Retail'!F260</f>
        <v>0.87628679220211403</v>
      </c>
      <c r="G202" s="46">
        <f xml:space="preserve"> 'INPUTS│Residential Retail'!G260</f>
        <v>0.74572410017937996</v>
      </c>
      <c r="H202" s="46">
        <f xml:space="preserve"> 'INPUTS│Residential Retail'!H260</f>
        <v>0.43999773671474002</v>
      </c>
      <c r="I202" s="46">
        <f xml:space="preserve"> 'INPUTS│Residential Retail'!I260</f>
        <v>0.14087629484525199</v>
      </c>
    </row>
    <row r="203" spans="2:10" x14ac:dyDescent="0.3">
      <c r="C203" s="8" t="s">
        <v>110</v>
      </c>
      <c r="D203" s="11" t="s">
        <v>127</v>
      </c>
      <c r="E203" s="46">
        <f xml:space="preserve"> 'INPUTS│Residential Retail'!E261</f>
        <v>4.7980538222237003E-2</v>
      </c>
      <c r="F203" s="46">
        <f xml:space="preserve"> 'INPUTS│Residential Retail'!F261</f>
        <v>4.0093169810377902E-2</v>
      </c>
      <c r="G203" s="46">
        <f xml:space="preserve"> 'INPUTS│Residential Retail'!G261</f>
        <v>3.57679354862694E-2</v>
      </c>
      <c r="H203" s="46">
        <f xml:space="preserve"> 'INPUTS│Residential Retail'!H261</f>
        <v>1.6775938239191698E-2</v>
      </c>
      <c r="I203" s="46">
        <f xml:space="preserve"> 'INPUTS│Residential Retail'!I261</f>
        <v>3.0604527083342298E-4</v>
      </c>
    </row>
    <row r="205" spans="2:10" ht="13.5" x14ac:dyDescent="0.35">
      <c r="B205" s="32" t="s">
        <v>566</v>
      </c>
      <c r="C205" s="32"/>
      <c r="D205" s="33"/>
      <c r="E205" s="32"/>
      <c r="F205" s="32"/>
      <c r="G205" s="32"/>
      <c r="H205" s="32"/>
      <c r="I205" s="32"/>
      <c r="J205" s="32"/>
    </row>
    <row r="207" spans="2:10" x14ac:dyDescent="0.3">
      <c r="C207" s="8" t="s">
        <v>80</v>
      </c>
      <c r="D207" s="11" t="s">
        <v>127</v>
      </c>
      <c r="E207" s="14">
        <f xml:space="preserve"> E105 * E167 + E187</f>
        <v>70.992361935810308</v>
      </c>
      <c r="F207" s="14">
        <f xml:space="preserve"> F105 * F167 + F187</f>
        <v>73.493972640528369</v>
      </c>
      <c r="G207" s="14">
        <f xml:space="preserve"> G105 * G167 + G187</f>
        <v>75.089132293923655</v>
      </c>
      <c r="H207" s="14">
        <f xml:space="preserve"> H105 * H167 + H187</f>
        <v>76.595751872504891</v>
      </c>
      <c r="I207" s="14">
        <f xml:space="preserve"> I105 * I167 + I187</f>
        <v>77.904812946042242</v>
      </c>
    </row>
    <row r="208" spans="2:10" x14ac:dyDescent="0.3">
      <c r="C208" s="8" t="s">
        <v>82</v>
      </c>
      <c r="D208" s="11" t="s">
        <v>127</v>
      </c>
      <c r="E208" s="14">
        <f t="shared" ref="E208:I223" si="2" xml:space="preserve"> E106 * E168 + E188</f>
        <v>54.318167285803071</v>
      </c>
      <c r="F208" s="14">
        <f t="shared" si="2"/>
        <v>53.04074762821157</v>
      </c>
      <c r="G208" s="14">
        <f t="shared" si="2"/>
        <v>51.504854297227851</v>
      </c>
      <c r="H208" s="14">
        <f t="shared" si="2"/>
        <v>49.824979208437817</v>
      </c>
      <c r="I208" s="14">
        <f t="shared" si="2"/>
        <v>49.778945382656254</v>
      </c>
    </row>
    <row r="209" spans="3:9" x14ac:dyDescent="0.3">
      <c r="C209" s="8" t="s">
        <v>85</v>
      </c>
      <c r="D209" s="11" t="s">
        <v>127</v>
      </c>
      <c r="E209" s="14">
        <f t="shared" si="2"/>
        <v>2.6857685538720437</v>
      </c>
      <c r="F209" s="14">
        <f t="shared" si="2"/>
        <v>2.7179277616172524</v>
      </c>
      <c r="G209" s="14">
        <f t="shared" si="2"/>
        <v>2.7459586061184833</v>
      </c>
      <c r="H209" s="14">
        <f t="shared" si="2"/>
        <v>2.3554462723818905</v>
      </c>
      <c r="I209" s="14">
        <f t="shared" si="2"/>
        <v>2.3553535914691768</v>
      </c>
    </row>
    <row r="210" spans="3:9" x14ac:dyDescent="0.3">
      <c r="C210" s="8" t="s">
        <v>87</v>
      </c>
      <c r="D210" s="11" t="s">
        <v>127</v>
      </c>
      <c r="E210" s="14">
        <f t="shared" si="2"/>
        <v>52.012817867866886</v>
      </c>
      <c r="F210" s="14">
        <f t="shared" si="2"/>
        <v>52.687143500731139</v>
      </c>
      <c r="G210" s="14">
        <f t="shared" si="2"/>
        <v>53.143266990707232</v>
      </c>
      <c r="H210" s="14">
        <f t="shared" si="2"/>
        <v>53.608046570822346</v>
      </c>
      <c r="I210" s="14">
        <f t="shared" si="2"/>
        <v>54.503799896103004</v>
      </c>
    </row>
    <row r="211" spans="3:9" x14ac:dyDescent="0.3">
      <c r="C211" s="8" t="s">
        <v>89</v>
      </c>
      <c r="D211" s="11" t="s">
        <v>127</v>
      </c>
      <c r="E211" s="14">
        <f t="shared" si="2"/>
        <v>108.36984541770892</v>
      </c>
      <c r="F211" s="14">
        <f t="shared" si="2"/>
        <v>109.63583922677655</v>
      </c>
      <c r="G211" s="14">
        <f t="shared" si="2"/>
        <v>113.69002272210597</v>
      </c>
      <c r="H211" s="14">
        <f t="shared" si="2"/>
        <v>114.49052641673032</v>
      </c>
      <c r="I211" s="14">
        <f t="shared" si="2"/>
        <v>115.83063540002166</v>
      </c>
    </row>
    <row r="212" spans="3:9" x14ac:dyDescent="0.3">
      <c r="C212" s="8" t="s">
        <v>91</v>
      </c>
      <c r="D212" s="11" t="s">
        <v>127</v>
      </c>
      <c r="E212" s="14">
        <f t="shared" si="2"/>
        <v>35.005008264858034</v>
      </c>
      <c r="F212" s="14">
        <f t="shared" si="2"/>
        <v>34.94097326883503</v>
      </c>
      <c r="G212" s="14">
        <f t="shared" si="2"/>
        <v>35.625701520883979</v>
      </c>
      <c r="H212" s="14">
        <f t="shared" si="2"/>
        <v>35.578536581271315</v>
      </c>
      <c r="I212" s="14">
        <f t="shared" si="2"/>
        <v>35.632401989871255</v>
      </c>
    </row>
    <row r="213" spans="3:9" x14ac:dyDescent="0.3">
      <c r="C213" s="8" t="s">
        <v>94</v>
      </c>
      <c r="D213" s="11" t="s">
        <v>127</v>
      </c>
      <c r="E213" s="14">
        <f t="shared" si="2"/>
        <v>63.099723495119036</v>
      </c>
      <c r="F213" s="14">
        <f t="shared" si="2"/>
        <v>61.434569413678304</v>
      </c>
      <c r="G213" s="14">
        <f t="shared" si="2"/>
        <v>56.643331509033786</v>
      </c>
      <c r="H213" s="14">
        <f t="shared" si="2"/>
        <v>51.923634564369657</v>
      </c>
      <c r="I213" s="14">
        <f t="shared" si="2"/>
        <v>52.813536618918882</v>
      </c>
    </row>
    <row r="214" spans="3:9" x14ac:dyDescent="0.3">
      <c r="C214" s="8" t="s">
        <v>96</v>
      </c>
      <c r="D214" s="11" t="s">
        <v>127</v>
      </c>
      <c r="E214" s="14">
        <f t="shared" si="2"/>
        <v>156.51536847759033</v>
      </c>
      <c r="F214" s="14">
        <f t="shared" si="2"/>
        <v>156.00788834309947</v>
      </c>
      <c r="G214" s="14">
        <f t="shared" si="2"/>
        <v>154.97690145137258</v>
      </c>
      <c r="H214" s="14">
        <f t="shared" si="2"/>
        <v>154.4246400954593</v>
      </c>
      <c r="I214" s="14">
        <f t="shared" si="2"/>
        <v>156.67710153001715</v>
      </c>
    </row>
    <row r="215" spans="3:9" x14ac:dyDescent="0.3">
      <c r="C215" s="8" t="s">
        <v>98</v>
      </c>
      <c r="D215" s="11" t="s">
        <v>127</v>
      </c>
      <c r="E215" s="14">
        <f t="shared" si="2"/>
        <v>125.16417285842374</v>
      </c>
      <c r="F215" s="14">
        <f t="shared" si="2"/>
        <v>120.73133755471054</v>
      </c>
      <c r="G215" s="14">
        <f t="shared" si="2"/>
        <v>113.46860504635914</v>
      </c>
      <c r="H215" s="14">
        <f t="shared" si="2"/>
        <v>107.24356978547767</v>
      </c>
      <c r="I215" s="14">
        <f t="shared" si="2"/>
        <v>108.78668227561832</v>
      </c>
    </row>
    <row r="216" spans="3:9" x14ac:dyDescent="0.3">
      <c r="C216" s="8" t="s">
        <v>100</v>
      </c>
      <c r="D216" s="11" t="s">
        <v>127</v>
      </c>
      <c r="E216" s="14">
        <f t="shared" si="2"/>
        <v>30.400406287799839</v>
      </c>
      <c r="F216" s="14">
        <f t="shared" si="2"/>
        <v>31.194235580251437</v>
      </c>
      <c r="G216" s="14">
        <f t="shared" si="2"/>
        <v>32.220392702020348</v>
      </c>
      <c r="H216" s="14">
        <f t="shared" si="2"/>
        <v>33.07940364464983</v>
      </c>
      <c r="I216" s="14">
        <f t="shared" si="2"/>
        <v>34.103388565754955</v>
      </c>
    </row>
    <row r="217" spans="3:9" x14ac:dyDescent="0.3">
      <c r="C217" s="8" t="s">
        <v>102</v>
      </c>
      <c r="D217" s="11" t="s">
        <v>127</v>
      </c>
      <c r="E217" s="14">
        <f t="shared" si="2"/>
        <v>55.887757589879413</v>
      </c>
      <c r="F217" s="14">
        <f t="shared" si="2"/>
        <v>56.965961037099888</v>
      </c>
      <c r="G217" s="14">
        <f t="shared" si="2"/>
        <v>57.653247247303575</v>
      </c>
      <c r="H217" s="14">
        <f t="shared" si="2"/>
        <v>57.247077138961423</v>
      </c>
      <c r="I217" s="14">
        <f t="shared" si="2"/>
        <v>58.652863712279427</v>
      </c>
    </row>
    <row r="218" spans="3:9" x14ac:dyDescent="0.3">
      <c r="C218" s="8" t="s">
        <v>104</v>
      </c>
      <c r="D218" s="11" t="s">
        <v>127</v>
      </c>
      <c r="E218" s="14">
        <f t="shared" si="2"/>
        <v>27.737939736628995</v>
      </c>
      <c r="F218" s="14">
        <f t="shared" si="2"/>
        <v>27.333612458656344</v>
      </c>
      <c r="G218" s="14">
        <f t="shared" si="2"/>
        <v>26.837335055545864</v>
      </c>
      <c r="H218" s="14">
        <f t="shared" si="2"/>
        <v>26.024762012916199</v>
      </c>
      <c r="I218" s="14">
        <f t="shared" si="2"/>
        <v>25.402237115634094</v>
      </c>
    </row>
    <row r="219" spans="3:9" x14ac:dyDescent="0.3">
      <c r="C219" s="8" t="s">
        <v>106</v>
      </c>
      <c r="D219" s="11" t="s">
        <v>127</v>
      </c>
      <c r="E219" s="14">
        <f t="shared" si="2"/>
        <v>9.7017744691465229</v>
      </c>
      <c r="F219" s="14">
        <f t="shared" si="2"/>
        <v>10.02133869886865</v>
      </c>
      <c r="G219" s="14">
        <f t="shared" si="2"/>
        <v>10.374595805650316</v>
      </c>
      <c r="H219" s="14">
        <f t="shared" si="2"/>
        <v>10.747027553369417</v>
      </c>
      <c r="I219" s="14">
        <f t="shared" si="2"/>
        <v>11.228949399079681</v>
      </c>
    </row>
    <row r="220" spans="3:9" x14ac:dyDescent="0.3">
      <c r="C220" s="8" t="s">
        <v>108</v>
      </c>
      <c r="D220" s="11" t="s">
        <v>127</v>
      </c>
      <c r="E220" s="14">
        <f t="shared" si="2"/>
        <v>4.3557777844170733</v>
      </c>
      <c r="F220" s="14">
        <f t="shared" si="2"/>
        <v>4.4346359011760965</v>
      </c>
      <c r="G220" s="14">
        <f t="shared" si="2"/>
        <v>4.4560103400717752</v>
      </c>
      <c r="H220" s="14">
        <f t="shared" si="2"/>
        <v>4.4885589510525516</v>
      </c>
      <c r="I220" s="14">
        <f t="shared" si="2"/>
        <v>4.5315553034897977</v>
      </c>
    </row>
    <row r="221" spans="3:9" x14ac:dyDescent="0.3">
      <c r="C221" s="8" t="s">
        <v>112</v>
      </c>
      <c r="D221" s="11" t="s">
        <v>127</v>
      </c>
      <c r="E221" s="14">
        <f t="shared" si="2"/>
        <v>19.527277375807952</v>
      </c>
      <c r="F221" s="14">
        <f t="shared" si="2"/>
        <v>20.012676867665878</v>
      </c>
      <c r="G221" s="14">
        <f t="shared" si="2"/>
        <v>20.267283859412164</v>
      </c>
      <c r="H221" s="14">
        <f t="shared" si="2"/>
        <v>20.466379335150766</v>
      </c>
      <c r="I221" s="14">
        <f t="shared" si="2"/>
        <v>20.896015272563236</v>
      </c>
    </row>
    <row r="222" spans="3:9" x14ac:dyDescent="0.3">
      <c r="C222" s="8" t="s">
        <v>114</v>
      </c>
      <c r="D222" s="11" t="s">
        <v>127</v>
      </c>
      <c r="E222" s="14">
        <f t="shared" si="2"/>
        <v>15.001810892648077</v>
      </c>
      <c r="F222" s="14">
        <f t="shared" si="2"/>
        <v>15.089534145299828</v>
      </c>
      <c r="G222" s="14">
        <f t="shared" si="2"/>
        <v>15.559782204233267</v>
      </c>
      <c r="H222" s="14">
        <f t="shared" si="2"/>
        <v>16.185901934594362</v>
      </c>
      <c r="I222" s="14">
        <f t="shared" si="2"/>
        <v>16.058526774329909</v>
      </c>
    </row>
    <row r="223" spans="3:9" x14ac:dyDescent="0.3">
      <c r="C223" s="8" t="s">
        <v>110</v>
      </c>
      <c r="D223" s="11" t="s">
        <v>127</v>
      </c>
      <c r="E223" s="14">
        <f t="shared" si="2"/>
        <v>5.3445456624501571</v>
      </c>
      <c r="F223" s="14">
        <f t="shared" si="2"/>
        <v>5.3514065798842507</v>
      </c>
      <c r="G223" s="14">
        <f t="shared" si="2"/>
        <v>5.5439469154300252</v>
      </c>
      <c r="H223" s="14">
        <f t="shared" si="2"/>
        <v>5.5025313643290863</v>
      </c>
      <c r="I223" s="14">
        <f t="shared" si="2"/>
        <v>5.4904708540510905</v>
      </c>
    </row>
    <row r="225" spans="2:10" ht="13.5" x14ac:dyDescent="0.35">
      <c r="B225" s="32" t="s">
        <v>180</v>
      </c>
      <c r="C225" s="32"/>
      <c r="D225" s="33"/>
      <c r="E225" s="32"/>
      <c r="F225" s="32"/>
      <c r="G225" s="32"/>
      <c r="H225" s="32"/>
      <c r="I225" s="32"/>
      <c r="J225" s="32"/>
    </row>
    <row r="227" spans="2:10" x14ac:dyDescent="0.3">
      <c r="C227" s="8" t="s">
        <v>80</v>
      </c>
      <c r="D227" s="11" t="s">
        <v>127</v>
      </c>
      <c r="E227" s="46">
        <f xml:space="preserve"> 'INPUTS│Residential Retail'!E265</f>
        <v>72.107761123971642</v>
      </c>
      <c r="F227" s="46">
        <f xml:space="preserve"> 'INPUTS│Residential Retail'!F265</f>
        <v>70.384993027619856</v>
      </c>
      <c r="G227" s="46">
        <f xml:space="preserve"> 'INPUTS│Residential Retail'!G265</f>
        <v>76.116</v>
      </c>
      <c r="H227" s="46">
        <f xml:space="preserve"> 'INPUTS│Residential Retail'!H265</f>
        <v>77.296603910000002</v>
      </c>
      <c r="I227" s="46">
        <f xml:space="preserve"> 'INPUTS│Residential Retail'!I265</f>
        <v>91.007000000000005</v>
      </c>
    </row>
    <row r="228" spans="2:10" x14ac:dyDescent="0.3">
      <c r="C228" s="8" t="s">
        <v>82</v>
      </c>
      <c r="D228" s="11" t="s">
        <v>127</v>
      </c>
      <c r="E228" s="46">
        <f xml:space="preserve"> 'INPUTS│Residential Retail'!E266</f>
        <v>62.06</v>
      </c>
      <c r="F228" s="46">
        <f xml:space="preserve"> 'INPUTS│Residential Retail'!F266</f>
        <v>57.381</v>
      </c>
      <c r="G228" s="46">
        <f xml:space="preserve"> 'INPUTS│Residential Retail'!G266</f>
        <v>58.957000000000001</v>
      </c>
      <c r="H228" s="46">
        <f xml:space="preserve"> 'INPUTS│Residential Retail'!H266</f>
        <v>56.28</v>
      </c>
      <c r="I228" s="46">
        <f xml:space="preserve"> 'INPUTS│Residential Retail'!I266</f>
        <v>60.146999999999998</v>
      </c>
    </row>
    <row r="229" spans="2:10" x14ac:dyDescent="0.3">
      <c r="C229" s="8" t="s">
        <v>85</v>
      </c>
      <c r="D229" s="11" t="s">
        <v>127</v>
      </c>
      <c r="E229" s="46">
        <f xml:space="preserve"> 'INPUTS│Residential Retail'!E267</f>
        <v>2.7454121880208575</v>
      </c>
      <c r="F229" s="46">
        <f xml:space="preserve"> 'INPUTS│Residential Retail'!F267</f>
        <v>2.5179999999999998</v>
      </c>
      <c r="G229" s="46">
        <f xml:space="preserve"> 'INPUTS│Residential Retail'!G267</f>
        <v>2.2040000000000002</v>
      </c>
      <c r="H229" s="46">
        <f xml:space="preserve"> 'INPUTS│Residential Retail'!H267</f>
        <v>2.83</v>
      </c>
      <c r="I229" s="46">
        <f xml:space="preserve"> 'INPUTS│Residential Retail'!I267</f>
        <v>3.0470000000000002</v>
      </c>
    </row>
    <row r="230" spans="2:10" x14ac:dyDescent="0.3">
      <c r="C230" s="8" t="s">
        <v>87</v>
      </c>
      <c r="D230" s="11" t="s">
        <v>127</v>
      </c>
      <c r="E230" s="46">
        <f xml:space="preserve"> 'INPUTS│Residential Retail'!E268</f>
        <v>44.024000000000008</v>
      </c>
      <c r="F230" s="46">
        <f xml:space="preserve"> 'INPUTS│Residential Retail'!F268</f>
        <v>45.385000000000005</v>
      </c>
      <c r="G230" s="46">
        <f xml:space="preserve"> 'INPUTS│Residential Retail'!G268</f>
        <v>49.222999999999999</v>
      </c>
      <c r="H230" s="46">
        <f xml:space="preserve"> 'INPUTS│Residential Retail'!H268</f>
        <v>56.573</v>
      </c>
      <c r="I230" s="46">
        <f xml:space="preserve"> 'INPUTS│Residential Retail'!I268</f>
        <v>67.244</v>
      </c>
    </row>
    <row r="231" spans="2:10" x14ac:dyDescent="0.3">
      <c r="C231" s="8" t="s">
        <v>89</v>
      </c>
      <c r="D231" s="11" t="s">
        <v>127</v>
      </c>
      <c r="E231" s="46">
        <f xml:space="preserve"> 'INPUTS│Residential Retail'!E269</f>
        <v>86.736000000000004</v>
      </c>
      <c r="F231" s="46">
        <f xml:space="preserve"> 'INPUTS│Residential Retail'!F269</f>
        <v>84.555000000000007</v>
      </c>
      <c r="G231" s="46">
        <f xml:space="preserve"> 'INPUTS│Residential Retail'!G269</f>
        <v>94.064999999999998</v>
      </c>
      <c r="H231" s="46">
        <f xml:space="preserve"> 'INPUTS│Residential Retail'!H269</f>
        <v>99.35</v>
      </c>
      <c r="I231" s="46">
        <f xml:space="preserve"> 'INPUTS│Residential Retail'!I269</f>
        <v>115.35299999999999</v>
      </c>
    </row>
    <row r="232" spans="2:10" x14ac:dyDescent="0.3">
      <c r="C232" s="8" t="s">
        <v>91</v>
      </c>
      <c r="D232" s="11" t="s">
        <v>127</v>
      </c>
      <c r="E232" s="46">
        <f xml:space="preserve"> 'INPUTS│Residential Retail'!E270</f>
        <v>34.946999999999996</v>
      </c>
      <c r="F232" s="46">
        <f xml:space="preserve"> 'INPUTS│Residential Retail'!F270</f>
        <v>31.983000000000004</v>
      </c>
      <c r="G232" s="46">
        <f xml:space="preserve"> 'INPUTS│Residential Retail'!G270</f>
        <v>31.05</v>
      </c>
      <c r="H232" s="46">
        <f xml:space="preserve"> 'INPUTS│Residential Retail'!H270</f>
        <v>27.707999999999998</v>
      </c>
      <c r="I232" s="46">
        <f xml:space="preserve"> 'INPUTS│Residential Retail'!I270</f>
        <v>30.259499999999999</v>
      </c>
    </row>
    <row r="233" spans="2:10" x14ac:dyDescent="0.3">
      <c r="C233" s="8" t="s">
        <v>94</v>
      </c>
      <c r="D233" s="11" t="s">
        <v>127</v>
      </c>
      <c r="E233" s="46">
        <f xml:space="preserve"> 'INPUTS│Residential Retail'!E271</f>
        <v>81.027000000000001</v>
      </c>
      <c r="F233" s="46">
        <f xml:space="preserve"> 'INPUTS│Residential Retail'!F271</f>
        <v>86.057999999999993</v>
      </c>
      <c r="G233" s="46">
        <f xml:space="preserve"> 'INPUTS│Residential Retail'!G271</f>
        <v>76.119</v>
      </c>
      <c r="H233" s="46">
        <f xml:space="preserve"> 'INPUTS│Residential Retail'!H271</f>
        <v>62.948</v>
      </c>
      <c r="I233" s="46">
        <f xml:space="preserve"> 'INPUTS│Residential Retail'!I271</f>
        <v>82.634</v>
      </c>
    </row>
    <row r="234" spans="2:10" x14ac:dyDescent="0.3">
      <c r="C234" s="8" t="s">
        <v>96</v>
      </c>
      <c r="D234" s="11" t="s">
        <v>127</v>
      </c>
      <c r="E234" s="46">
        <f xml:space="preserve"> 'INPUTS│Residential Retail'!E272</f>
        <v>162.24193973624713</v>
      </c>
      <c r="F234" s="46">
        <f xml:space="preserve"> 'INPUTS│Residential Retail'!F272</f>
        <v>163.37099999999998</v>
      </c>
      <c r="G234" s="46">
        <f xml:space="preserve"> 'INPUTS│Residential Retail'!G272</f>
        <v>171.8</v>
      </c>
      <c r="H234" s="46">
        <f xml:space="preserve"> 'INPUTS│Residential Retail'!H272</f>
        <v>178.52799999999999</v>
      </c>
      <c r="I234" s="46">
        <f xml:space="preserve"> 'INPUTS│Residential Retail'!I272</f>
        <v>216.18299999999999</v>
      </c>
    </row>
    <row r="235" spans="2:10" x14ac:dyDescent="0.3">
      <c r="C235" s="8" t="s">
        <v>98</v>
      </c>
      <c r="D235" s="11" t="s">
        <v>127</v>
      </c>
      <c r="E235" s="46">
        <f xml:space="preserve"> 'INPUTS│Residential Retail'!E273</f>
        <v>120.30515406956067</v>
      </c>
      <c r="F235" s="46">
        <f xml:space="preserve"> 'INPUTS│Residential Retail'!F273</f>
        <v>114.45122808650557</v>
      </c>
      <c r="G235" s="46">
        <f xml:space="preserve"> 'INPUTS│Residential Retail'!G273</f>
        <v>113.62053081025999</v>
      </c>
      <c r="H235" s="46">
        <f xml:space="preserve"> 'INPUTS│Residential Retail'!H273</f>
        <v>110.937110907781</v>
      </c>
      <c r="I235" s="46">
        <f xml:space="preserve"> 'INPUTS│Residential Retail'!I273</f>
        <v>126.016428735186</v>
      </c>
    </row>
    <row r="236" spans="2:10" x14ac:dyDescent="0.3">
      <c r="C236" s="8" t="s">
        <v>100</v>
      </c>
      <c r="D236" s="11" t="s">
        <v>127</v>
      </c>
      <c r="E236" s="46">
        <f xml:space="preserve"> 'INPUTS│Residential Retail'!E274</f>
        <v>26.754587758045798</v>
      </c>
      <c r="F236" s="46">
        <f xml:space="preserve"> 'INPUTS│Residential Retail'!F274</f>
        <v>27.273689046203401</v>
      </c>
      <c r="G236" s="46">
        <f xml:space="preserve"> 'INPUTS│Residential Retail'!G274</f>
        <v>29.771088619529799</v>
      </c>
      <c r="H236" s="46">
        <f xml:space="preserve"> 'INPUTS│Residential Retail'!H274</f>
        <v>33.957481750509103</v>
      </c>
      <c r="I236" s="46">
        <f xml:space="preserve"> 'INPUTS│Residential Retail'!I274</f>
        <v>36.805671607603301</v>
      </c>
    </row>
    <row r="237" spans="2:10" x14ac:dyDescent="0.3">
      <c r="C237" s="8" t="s">
        <v>102</v>
      </c>
      <c r="D237" s="11" t="s">
        <v>127</v>
      </c>
      <c r="E237" s="46">
        <f xml:space="preserve"> 'INPUTS│Residential Retail'!E275</f>
        <v>56.061300000000003</v>
      </c>
      <c r="F237" s="46">
        <f xml:space="preserve"> 'INPUTS│Residential Retail'!F275</f>
        <v>53.713000000000008</v>
      </c>
      <c r="G237" s="46">
        <f xml:space="preserve"> 'INPUTS│Residential Retail'!G275</f>
        <v>57.851999999999997</v>
      </c>
      <c r="H237" s="46">
        <f xml:space="preserve"> 'INPUTS│Residential Retail'!H275</f>
        <v>60.991</v>
      </c>
      <c r="I237" s="46">
        <f xml:space="preserve"> 'INPUTS│Residential Retail'!I275</f>
        <v>67.838999999999999</v>
      </c>
    </row>
    <row r="238" spans="2:10" x14ac:dyDescent="0.3">
      <c r="C238" s="8" t="s">
        <v>104</v>
      </c>
      <c r="D238" s="11" t="s">
        <v>127</v>
      </c>
      <c r="E238" s="46">
        <f xml:space="preserve"> 'INPUTS│Residential Retail'!E276</f>
        <v>31.254999999999999</v>
      </c>
      <c r="F238" s="46">
        <f xml:space="preserve"> 'INPUTS│Residential Retail'!F276</f>
        <v>31.374000000000002</v>
      </c>
      <c r="G238" s="46">
        <f xml:space="preserve"> 'INPUTS│Residential Retail'!G276</f>
        <v>31.742000000000001</v>
      </c>
      <c r="H238" s="46">
        <f xml:space="preserve"> 'INPUTS│Residential Retail'!H276</f>
        <v>27.841000000000001</v>
      </c>
      <c r="I238" s="46">
        <f xml:space="preserve"> 'INPUTS│Residential Retail'!I276</f>
        <v>30.824000000000002</v>
      </c>
    </row>
    <row r="239" spans="2:10" x14ac:dyDescent="0.3">
      <c r="C239" s="8" t="s">
        <v>106</v>
      </c>
      <c r="D239" s="11" t="s">
        <v>127</v>
      </c>
      <c r="E239" s="46">
        <f xml:space="preserve"> 'INPUTS│Residential Retail'!E277</f>
        <v>8.3040000000000003</v>
      </c>
      <c r="F239" s="46">
        <f xml:space="preserve"> 'INPUTS│Residential Retail'!F277</f>
        <v>8.3659999999999979</v>
      </c>
      <c r="G239" s="46">
        <f xml:space="preserve"> 'INPUTS│Residential Retail'!G277</f>
        <v>9.3439999999999994</v>
      </c>
      <c r="H239" s="46">
        <f xml:space="preserve"> 'INPUTS│Residential Retail'!H277</f>
        <v>10.942</v>
      </c>
      <c r="I239" s="46">
        <f xml:space="preserve"> 'INPUTS│Residential Retail'!I277</f>
        <v>12.89028922</v>
      </c>
    </row>
    <row r="240" spans="2:10" x14ac:dyDescent="0.3">
      <c r="C240" s="8" t="s">
        <v>108</v>
      </c>
      <c r="D240" s="11" t="s">
        <v>127</v>
      </c>
      <c r="E240" s="46">
        <f xml:space="preserve"> 'INPUTS│Residential Retail'!E278</f>
        <v>4.7270000000000003</v>
      </c>
      <c r="F240" s="46">
        <f xml:space="preserve"> 'INPUTS│Residential Retail'!F278</f>
        <v>4.1389999999999993</v>
      </c>
      <c r="G240" s="46">
        <f xml:space="preserve"> 'INPUTS│Residential Retail'!G278</f>
        <v>4.9119999999999999</v>
      </c>
      <c r="H240" s="46">
        <f xml:space="preserve"> 'INPUTS│Residential Retail'!H278</f>
        <v>4.556</v>
      </c>
      <c r="I240" s="46">
        <f xml:space="preserve"> 'INPUTS│Residential Retail'!I278</f>
        <v>4.6580000000000004</v>
      </c>
    </row>
    <row r="241" spans="2:10" x14ac:dyDescent="0.3">
      <c r="C241" s="8" t="s">
        <v>112</v>
      </c>
      <c r="D241" s="11" t="s">
        <v>127</v>
      </c>
      <c r="E241" s="46">
        <f xml:space="preserve"> 'INPUTS│Residential Retail'!E279</f>
        <v>17.419999999999998</v>
      </c>
      <c r="F241" s="46">
        <f xml:space="preserve"> 'INPUTS│Residential Retail'!F279</f>
        <v>15.726000000000003</v>
      </c>
      <c r="G241" s="46">
        <f xml:space="preserve"> 'INPUTS│Residential Retail'!G279</f>
        <v>15.176</v>
      </c>
      <c r="H241" s="46">
        <f xml:space="preserve"> 'INPUTS│Residential Retail'!H279</f>
        <v>15.96</v>
      </c>
      <c r="I241" s="46">
        <f xml:space="preserve"> 'INPUTS│Residential Retail'!I279</f>
        <v>18.59</v>
      </c>
    </row>
    <row r="242" spans="2:10" x14ac:dyDescent="0.3">
      <c r="C242" s="8" t="s">
        <v>114</v>
      </c>
      <c r="D242" s="11" t="s">
        <v>127</v>
      </c>
      <c r="E242" s="46">
        <f xml:space="preserve"> 'INPUTS│Residential Retail'!E280</f>
        <v>13.076120548859775</v>
      </c>
      <c r="F242" s="46">
        <f xml:space="preserve"> 'INPUTS│Residential Retail'!F280</f>
        <v>12.993286066204416</v>
      </c>
      <c r="G242" s="46">
        <f xml:space="preserve"> 'INPUTS│Residential Retail'!G280</f>
        <v>12.674204954432399</v>
      </c>
      <c r="H242" s="46">
        <f xml:space="preserve"> 'INPUTS│Residential Retail'!H280</f>
        <v>12.945</v>
      </c>
      <c r="I242" s="46">
        <f xml:space="preserve"> 'INPUTS│Residential Retail'!I280</f>
        <v>20.638999999999999</v>
      </c>
    </row>
    <row r="243" spans="2:10" x14ac:dyDescent="0.3">
      <c r="C243" s="8" t="s">
        <v>110</v>
      </c>
      <c r="D243" s="11" t="s">
        <v>127</v>
      </c>
      <c r="E243" s="46">
        <f xml:space="preserve"> 'INPUTS│Residential Retail'!E281</f>
        <v>6.2610000000000001</v>
      </c>
      <c r="F243" s="46">
        <f xml:space="preserve"> 'INPUTS│Residential Retail'!F281</f>
        <v>6.2889999999999997</v>
      </c>
      <c r="G243" s="46">
        <f xml:space="preserve"> 'INPUTS│Residential Retail'!G281</f>
        <v>7.1920000000000002</v>
      </c>
      <c r="H243" s="46">
        <f xml:space="preserve"> 'INPUTS│Residential Retail'!H281</f>
        <v>8.0739999999999998</v>
      </c>
      <c r="I243" s="46">
        <f xml:space="preserve"> 'INPUTS│Residential Retail'!I281</f>
        <v>8.24</v>
      </c>
    </row>
    <row r="245" spans="2:10" ht="13.5" x14ac:dyDescent="0.35">
      <c r="B245" s="32" t="s">
        <v>567</v>
      </c>
      <c r="C245" s="32"/>
      <c r="D245" s="33"/>
      <c r="E245" s="32"/>
      <c r="F245" s="32"/>
      <c r="G245" s="32"/>
      <c r="H245" s="32"/>
      <c r="I245" s="32"/>
      <c r="J245" s="32"/>
    </row>
    <row r="247" spans="2:10" x14ac:dyDescent="0.3">
      <c r="C247" s="8" t="s">
        <v>80</v>
      </c>
      <c r="D247" s="11" t="s">
        <v>127</v>
      </c>
      <c r="E247" s="14">
        <f xml:space="preserve"> E227 - E207</f>
        <v>1.1153991881613337</v>
      </c>
      <c r="F247" s="14">
        <f xml:space="preserve"> F227 - F207</f>
        <v>-3.108979612908513</v>
      </c>
      <c r="G247" s="14">
        <f xml:space="preserve"> G227 - G207</f>
        <v>1.0268677060763451</v>
      </c>
      <c r="H247" s="14">
        <f xml:space="preserve"> H227 - H207</f>
        <v>0.70085203749511038</v>
      </c>
      <c r="I247" s="14">
        <f xml:space="preserve"> I227 - I207</f>
        <v>13.102187053957763</v>
      </c>
    </row>
    <row r="248" spans="2:10" x14ac:dyDescent="0.3">
      <c r="C248" s="8" t="s">
        <v>82</v>
      </c>
      <c r="D248" s="11" t="s">
        <v>127</v>
      </c>
      <c r="E248" s="14">
        <f t="shared" ref="E248:I263" si="3" xml:space="preserve"> E228 - E208</f>
        <v>7.7418327141969314</v>
      </c>
      <c r="F248" s="14">
        <f t="shared" si="3"/>
        <v>4.3402523717884307</v>
      </c>
      <c r="G248" s="14">
        <f t="shared" si="3"/>
        <v>7.4521457027721496</v>
      </c>
      <c r="H248" s="14">
        <f t="shared" si="3"/>
        <v>6.455020791562184</v>
      </c>
      <c r="I248" s="14">
        <f t="shared" si="3"/>
        <v>10.368054617343745</v>
      </c>
    </row>
    <row r="249" spans="2:10" x14ac:dyDescent="0.3">
      <c r="C249" s="8" t="s">
        <v>85</v>
      </c>
      <c r="D249" s="11" t="s">
        <v>127</v>
      </c>
      <c r="E249" s="14">
        <f t="shared" si="3"/>
        <v>5.9643634148813796E-2</v>
      </c>
      <c r="F249" s="14">
        <f t="shared" si="3"/>
        <v>-0.19992776161725256</v>
      </c>
      <c r="G249" s="14">
        <f t="shared" si="3"/>
        <v>-0.54195860611848312</v>
      </c>
      <c r="H249" s="14">
        <f t="shared" si="3"/>
        <v>0.47455372761810954</v>
      </c>
      <c r="I249" s="14">
        <f t="shared" si="3"/>
        <v>0.69164640853082338</v>
      </c>
    </row>
    <row r="250" spans="2:10" x14ac:dyDescent="0.3">
      <c r="C250" s="8" t="s">
        <v>87</v>
      </c>
      <c r="D250" s="11" t="s">
        <v>127</v>
      </c>
      <c r="E250" s="14">
        <f t="shared" si="3"/>
        <v>-7.988817867866878</v>
      </c>
      <c r="F250" s="14">
        <f t="shared" si="3"/>
        <v>-7.3021435007311339</v>
      </c>
      <c r="G250" s="14">
        <f t="shared" si="3"/>
        <v>-3.9202669907072334</v>
      </c>
      <c r="H250" s="14">
        <f t="shared" si="3"/>
        <v>2.9649534291776547</v>
      </c>
      <c r="I250" s="14">
        <f t="shared" si="3"/>
        <v>12.740200103896996</v>
      </c>
    </row>
    <row r="251" spans="2:10" x14ac:dyDescent="0.3">
      <c r="C251" s="8" t="s">
        <v>89</v>
      </c>
      <c r="D251" s="11" t="s">
        <v>127</v>
      </c>
      <c r="E251" s="14">
        <f t="shared" si="3"/>
        <v>-21.633845417708912</v>
      </c>
      <c r="F251" s="14">
        <f t="shared" si="3"/>
        <v>-25.080839226776547</v>
      </c>
      <c r="G251" s="14">
        <f t="shared" si="3"/>
        <v>-19.625022722105967</v>
      </c>
      <c r="H251" s="14">
        <f t="shared" si="3"/>
        <v>-15.140526416730324</v>
      </c>
      <c r="I251" s="14">
        <f t="shared" si="3"/>
        <v>-0.47763540002166849</v>
      </c>
    </row>
    <row r="252" spans="2:10" x14ac:dyDescent="0.3">
      <c r="C252" s="8" t="s">
        <v>91</v>
      </c>
      <c r="D252" s="11" t="s">
        <v>127</v>
      </c>
      <c r="E252" s="14">
        <f t="shared" si="3"/>
        <v>-5.8008264858038672E-2</v>
      </c>
      <c r="F252" s="14">
        <f t="shared" si="3"/>
        <v>-2.9579732688350262</v>
      </c>
      <c r="G252" s="14">
        <f t="shared" si="3"/>
        <v>-4.5757015208839782</v>
      </c>
      <c r="H252" s="14">
        <f t="shared" si="3"/>
        <v>-7.8705365812713168</v>
      </c>
      <c r="I252" s="14">
        <f t="shared" si="3"/>
        <v>-5.3729019898712558</v>
      </c>
    </row>
    <row r="253" spans="2:10" x14ac:dyDescent="0.3">
      <c r="C253" s="8" t="s">
        <v>94</v>
      </c>
      <c r="D253" s="11" t="s">
        <v>127</v>
      </c>
      <c r="E253" s="14">
        <f t="shared" si="3"/>
        <v>17.927276504880965</v>
      </c>
      <c r="F253" s="14">
        <f t="shared" si="3"/>
        <v>24.623430586321689</v>
      </c>
      <c r="G253" s="14">
        <f t="shared" si="3"/>
        <v>19.475668490966214</v>
      </c>
      <c r="H253" s="14">
        <f t="shared" si="3"/>
        <v>11.024365435630344</v>
      </c>
      <c r="I253" s="14">
        <f t="shared" si="3"/>
        <v>29.820463381081119</v>
      </c>
    </row>
    <row r="254" spans="2:10" x14ac:dyDescent="0.3">
      <c r="C254" s="8" t="s">
        <v>96</v>
      </c>
      <c r="D254" s="11" t="s">
        <v>127</v>
      </c>
      <c r="E254" s="14">
        <f t="shared" si="3"/>
        <v>5.7265712586568043</v>
      </c>
      <c r="F254" s="14">
        <f t="shared" si="3"/>
        <v>7.3631116569005144</v>
      </c>
      <c r="G254" s="14">
        <f t="shared" si="3"/>
        <v>16.823098548627428</v>
      </c>
      <c r="H254" s="14">
        <f t="shared" si="3"/>
        <v>24.103359904540696</v>
      </c>
      <c r="I254" s="14">
        <f t="shared" si="3"/>
        <v>59.505898469982839</v>
      </c>
    </row>
    <row r="255" spans="2:10" x14ac:dyDescent="0.3">
      <c r="C255" s="8" t="s">
        <v>98</v>
      </c>
      <c r="D255" s="11" t="s">
        <v>127</v>
      </c>
      <c r="E255" s="14">
        <f t="shared" si="3"/>
        <v>-4.859018788863068</v>
      </c>
      <c r="F255" s="14">
        <f t="shared" si="3"/>
        <v>-6.2801094682049694</v>
      </c>
      <c r="G255" s="14">
        <f t="shared" si="3"/>
        <v>0.15192576390084866</v>
      </c>
      <c r="H255" s="14">
        <f t="shared" si="3"/>
        <v>3.6935411223033299</v>
      </c>
      <c r="I255" s="14">
        <f t="shared" si="3"/>
        <v>17.229746459567679</v>
      </c>
    </row>
    <row r="256" spans="2:10" x14ac:dyDescent="0.3">
      <c r="C256" s="8" t="s">
        <v>100</v>
      </c>
      <c r="D256" s="11" t="s">
        <v>127</v>
      </c>
      <c r="E256" s="14">
        <f t="shared" si="3"/>
        <v>-3.6458185297540417</v>
      </c>
      <c r="F256" s="14">
        <f t="shared" si="3"/>
        <v>-3.9205465340480359</v>
      </c>
      <c r="G256" s="14">
        <f t="shared" si="3"/>
        <v>-2.4493040824905492</v>
      </c>
      <c r="H256" s="14">
        <f t="shared" si="3"/>
        <v>0.87807810585927371</v>
      </c>
      <c r="I256" s="14">
        <f t="shared" si="3"/>
        <v>2.7022830418483466</v>
      </c>
    </row>
    <row r="257" spans="2:10" x14ac:dyDescent="0.3">
      <c r="C257" s="8" t="s">
        <v>102</v>
      </c>
      <c r="D257" s="11" t="s">
        <v>127</v>
      </c>
      <c r="E257" s="14">
        <f t="shared" si="3"/>
        <v>0.17354241012058935</v>
      </c>
      <c r="F257" s="14">
        <f t="shared" si="3"/>
        <v>-3.2529610370998796</v>
      </c>
      <c r="G257" s="14">
        <f t="shared" si="3"/>
        <v>0.19875275269642145</v>
      </c>
      <c r="H257" s="14">
        <f t="shared" si="3"/>
        <v>3.7439228610385769</v>
      </c>
      <c r="I257" s="14">
        <f t="shared" si="3"/>
        <v>9.1861362877205721</v>
      </c>
    </row>
    <row r="258" spans="2:10" x14ac:dyDescent="0.3">
      <c r="C258" s="8" t="s">
        <v>104</v>
      </c>
      <c r="D258" s="11" t="s">
        <v>127</v>
      </c>
      <c r="E258" s="14">
        <f t="shared" si="3"/>
        <v>3.517060263371004</v>
      </c>
      <c r="F258" s="14">
        <f t="shared" si="3"/>
        <v>4.0403875413436587</v>
      </c>
      <c r="G258" s="14">
        <f t="shared" si="3"/>
        <v>4.9046649444541366</v>
      </c>
      <c r="H258" s="14">
        <f t="shared" si="3"/>
        <v>1.8162379870838024</v>
      </c>
      <c r="I258" s="14">
        <f t="shared" si="3"/>
        <v>5.4217628843659078</v>
      </c>
    </row>
    <row r="259" spans="2:10" x14ac:dyDescent="0.3">
      <c r="C259" s="8" t="s">
        <v>106</v>
      </c>
      <c r="D259" s="11" t="s">
        <v>127</v>
      </c>
      <c r="E259" s="14">
        <f t="shared" si="3"/>
        <v>-1.3977744691465226</v>
      </c>
      <c r="F259" s="14">
        <f t="shared" si="3"/>
        <v>-1.6553386988686523</v>
      </c>
      <c r="G259" s="14">
        <f t="shared" si="3"/>
        <v>-1.0305958056503162</v>
      </c>
      <c r="H259" s="14">
        <f t="shared" si="3"/>
        <v>0.19497244663058311</v>
      </c>
      <c r="I259" s="14">
        <f t="shared" si="3"/>
        <v>1.6613398209203183</v>
      </c>
    </row>
    <row r="260" spans="2:10" x14ac:dyDescent="0.3">
      <c r="C260" s="8" t="s">
        <v>108</v>
      </c>
      <c r="D260" s="11" t="s">
        <v>127</v>
      </c>
      <c r="E260" s="14">
        <f t="shared" si="3"/>
        <v>0.37122221558292701</v>
      </c>
      <c r="F260" s="14">
        <f t="shared" si="3"/>
        <v>-0.29563590117609717</v>
      </c>
      <c r="G260" s="14">
        <f t="shared" si="3"/>
        <v>0.45598965992822471</v>
      </c>
      <c r="H260" s="14">
        <f t="shared" si="3"/>
        <v>6.7441048947448401E-2</v>
      </c>
      <c r="I260" s="14">
        <f t="shared" si="3"/>
        <v>0.12644469651020263</v>
      </c>
    </row>
    <row r="261" spans="2:10" x14ac:dyDescent="0.3">
      <c r="C261" s="8" t="s">
        <v>112</v>
      </c>
      <c r="D261" s="11" t="s">
        <v>127</v>
      </c>
      <c r="E261" s="14">
        <f t="shared" si="3"/>
        <v>-2.1072773758079535</v>
      </c>
      <c r="F261" s="14">
        <f t="shared" si="3"/>
        <v>-4.2866768676658751</v>
      </c>
      <c r="G261" s="14">
        <f t="shared" si="3"/>
        <v>-5.0912838594121634</v>
      </c>
      <c r="H261" s="14">
        <f t="shared" si="3"/>
        <v>-4.5063793351507648</v>
      </c>
      <c r="I261" s="14">
        <f t="shared" si="3"/>
        <v>-2.3060152725632364</v>
      </c>
    </row>
    <row r="262" spans="2:10" x14ac:dyDescent="0.3">
      <c r="C262" s="8" t="s">
        <v>114</v>
      </c>
      <c r="D262" s="11" t="s">
        <v>127</v>
      </c>
      <c r="E262" s="14">
        <f t="shared" si="3"/>
        <v>-1.9256903437883022</v>
      </c>
      <c r="F262" s="14">
        <f t="shared" si="3"/>
        <v>-2.0962480790954121</v>
      </c>
      <c r="G262" s="14">
        <f t="shared" si="3"/>
        <v>-2.8855772498008676</v>
      </c>
      <c r="H262" s="14">
        <f t="shared" si="3"/>
        <v>-3.2409019345943619</v>
      </c>
      <c r="I262" s="14">
        <f t="shared" si="3"/>
        <v>4.5804732256700902</v>
      </c>
    </row>
    <row r="263" spans="2:10" x14ac:dyDescent="0.3">
      <c r="C263" s="8" t="s">
        <v>110</v>
      </c>
      <c r="D263" s="11" t="s">
        <v>127</v>
      </c>
      <c r="E263" s="14">
        <f t="shared" si="3"/>
        <v>0.91645433754984307</v>
      </c>
      <c r="F263" s="14">
        <f t="shared" si="3"/>
        <v>0.93759342011574898</v>
      </c>
      <c r="G263" s="14">
        <f t="shared" si="3"/>
        <v>1.648053084569975</v>
      </c>
      <c r="H263" s="14">
        <f t="shared" si="3"/>
        <v>2.5714686356709135</v>
      </c>
      <c r="I263" s="14">
        <f t="shared" si="3"/>
        <v>2.7495291459489097</v>
      </c>
    </row>
    <row r="265" spans="2:10" ht="13.5" x14ac:dyDescent="0.35">
      <c r="B265" s="9" t="s">
        <v>568</v>
      </c>
      <c r="C265" s="9"/>
      <c r="D265" s="10"/>
      <c r="E265" s="9"/>
      <c r="F265" s="9"/>
      <c r="G265" s="9"/>
      <c r="H265" s="9"/>
      <c r="I265" s="9"/>
      <c r="J265" s="9"/>
    </row>
    <row r="267" spans="2:10" ht="13.5" x14ac:dyDescent="0.35">
      <c r="B267" s="32" t="s">
        <v>569</v>
      </c>
      <c r="C267" s="32"/>
      <c r="D267" s="33"/>
      <c r="E267" s="32"/>
      <c r="F267" s="32"/>
      <c r="G267" s="32"/>
      <c r="H267" s="32"/>
      <c r="I267" s="32"/>
      <c r="J267" s="32"/>
    </row>
    <row r="269" spans="2:10" x14ac:dyDescent="0.3">
      <c r="C269" s="8" t="s">
        <v>80</v>
      </c>
      <c r="D269" s="11" t="s">
        <v>127</v>
      </c>
      <c r="E269" s="233">
        <f xml:space="preserve"> SUM( $E207:E207 ) * N( E207 &lt;&gt; 0 )</f>
        <v>70.992361935810308</v>
      </c>
      <c r="F269" s="233">
        <f xml:space="preserve"> SUM( $E207:F207 ) * N( F207 &lt;&gt; 0 )</f>
        <v>144.48633457633866</v>
      </c>
      <c r="G269" s="233">
        <f xml:space="preserve"> SUM( $E207:G207 ) * N( G207 &lt;&gt; 0 )</f>
        <v>219.57546687026232</v>
      </c>
      <c r="H269" s="233">
        <f xml:space="preserve"> SUM( $E207:H207 ) * N( H207 &lt;&gt; 0 )</f>
        <v>296.17121874276722</v>
      </c>
      <c r="I269" s="233">
        <f xml:space="preserve"> SUM( $E207:I207 ) * N( I207 &lt;&gt; 0 )</f>
        <v>374.07603168880945</v>
      </c>
    </row>
    <row r="270" spans="2:10" x14ac:dyDescent="0.3">
      <c r="C270" s="8" t="s">
        <v>82</v>
      </c>
      <c r="D270" s="11" t="s">
        <v>127</v>
      </c>
      <c r="E270" s="233">
        <f xml:space="preserve"> SUM( $E208:E208 ) * N( E208 &lt;&gt; 0 )</f>
        <v>54.318167285803071</v>
      </c>
      <c r="F270" s="233">
        <f xml:space="preserve"> SUM( $E208:F208 ) * N( F208 &lt;&gt; 0 )</f>
        <v>107.35891491401463</v>
      </c>
      <c r="G270" s="233">
        <f xml:space="preserve"> SUM( $E208:G208 ) * N( G208 &lt;&gt; 0 )</f>
        <v>158.86376921124247</v>
      </c>
      <c r="H270" s="233">
        <f xml:space="preserve"> SUM( $E208:H208 ) * N( H208 &lt;&gt; 0 )</f>
        <v>208.68874841968028</v>
      </c>
      <c r="I270" s="233">
        <f xml:space="preserve"> SUM( $E208:I208 ) * N( I208 &lt;&gt; 0 )</f>
        <v>258.46769380233656</v>
      </c>
    </row>
    <row r="271" spans="2:10" x14ac:dyDescent="0.3">
      <c r="C271" s="8" t="s">
        <v>85</v>
      </c>
      <c r="D271" s="11" t="s">
        <v>127</v>
      </c>
      <c r="E271" s="233">
        <f xml:space="preserve"> SUM( $E209:E209 ) * N( E209 &lt;&gt; 0 )</f>
        <v>2.6857685538720437</v>
      </c>
      <c r="F271" s="233">
        <f xml:space="preserve"> SUM( $E209:F209 ) * N( F209 &lt;&gt; 0 )</f>
        <v>5.4036963154892961</v>
      </c>
      <c r="G271" s="233">
        <f xml:space="preserve"> SUM( $E209:G209 ) * N( G209 &lt;&gt; 0 )</f>
        <v>8.1496549216077803</v>
      </c>
      <c r="H271" s="233">
        <f xml:space="preserve"> SUM( $E209:H209 ) * N( H209 &lt;&gt; 0 )</f>
        <v>10.50510119398967</v>
      </c>
      <c r="I271" s="233">
        <f xml:space="preserve"> SUM( $E209:I209 ) * N( I209 &lt;&gt; 0 )</f>
        <v>12.860454785458847</v>
      </c>
    </row>
    <row r="272" spans="2:10" x14ac:dyDescent="0.3">
      <c r="C272" s="8" t="s">
        <v>87</v>
      </c>
      <c r="D272" s="11" t="s">
        <v>127</v>
      </c>
      <c r="E272" s="233">
        <f xml:space="preserve"> SUM( $E210:E210 ) * N( E210 &lt;&gt; 0 )</f>
        <v>52.012817867866886</v>
      </c>
      <c r="F272" s="233">
        <f xml:space="preserve"> SUM( $E210:F210 ) * N( F210 &lt;&gt; 0 )</f>
        <v>104.69996136859803</v>
      </c>
      <c r="G272" s="233">
        <f xml:space="preserve"> SUM( $E210:G210 ) * N( G210 &lt;&gt; 0 )</f>
        <v>157.84322835930527</v>
      </c>
      <c r="H272" s="233">
        <f xml:space="preserve"> SUM( $E210:H210 ) * N( H210 &lt;&gt; 0 )</f>
        <v>211.45127493012762</v>
      </c>
      <c r="I272" s="233">
        <f xml:space="preserve"> SUM( $E210:I210 ) * N( I210 &lt;&gt; 0 )</f>
        <v>265.95507482623066</v>
      </c>
    </row>
    <row r="273" spans="2:10" x14ac:dyDescent="0.3">
      <c r="C273" s="8" t="s">
        <v>89</v>
      </c>
      <c r="D273" s="11" t="s">
        <v>127</v>
      </c>
      <c r="E273" s="233">
        <f xml:space="preserve"> SUM( $E211:E211 ) * N( E211 &lt;&gt; 0 )</f>
        <v>108.36984541770892</v>
      </c>
      <c r="F273" s="233">
        <f xml:space="preserve"> SUM( $E211:F211 ) * N( F211 &lt;&gt; 0 )</f>
        <v>218.00568464448548</v>
      </c>
      <c r="G273" s="233">
        <f xml:space="preserve"> SUM( $E211:G211 ) * N( G211 &lt;&gt; 0 )</f>
        <v>331.69570736659148</v>
      </c>
      <c r="H273" s="233">
        <f xml:space="preserve"> SUM( $E211:H211 ) * N( H211 &lt;&gt; 0 )</f>
        <v>446.18623378332177</v>
      </c>
      <c r="I273" s="233">
        <f xml:space="preserve"> SUM( $E211:I211 ) * N( I211 &lt;&gt; 0 )</f>
        <v>562.01686918334349</v>
      </c>
    </row>
    <row r="274" spans="2:10" x14ac:dyDescent="0.3">
      <c r="C274" s="8" t="s">
        <v>91</v>
      </c>
      <c r="D274" s="11" t="s">
        <v>127</v>
      </c>
      <c r="E274" s="233">
        <f xml:space="preserve"> SUM( $E212:E212 ) * N( E212 &lt;&gt; 0 )</f>
        <v>35.005008264858034</v>
      </c>
      <c r="F274" s="233">
        <f xml:space="preserve"> SUM( $E212:F212 ) * N( F212 &lt;&gt; 0 )</f>
        <v>69.945981533693072</v>
      </c>
      <c r="G274" s="233">
        <f xml:space="preserve"> SUM( $E212:G212 ) * N( G212 &lt;&gt; 0 )</f>
        <v>105.57168305457705</v>
      </c>
      <c r="H274" s="233">
        <f xml:space="preserve"> SUM( $E212:H212 ) * N( H212 &lt;&gt; 0 )</f>
        <v>141.15021963584837</v>
      </c>
      <c r="I274" s="233">
        <f xml:space="preserve"> SUM( $E212:I212 ) * N( I212 &lt;&gt; 0 )</f>
        <v>176.78262162571963</v>
      </c>
    </row>
    <row r="275" spans="2:10" x14ac:dyDescent="0.3">
      <c r="C275" s="8" t="s">
        <v>94</v>
      </c>
      <c r="D275" s="11" t="s">
        <v>127</v>
      </c>
      <c r="E275" s="233">
        <f xml:space="preserve"> SUM( $E213:E213 ) * N( E213 &lt;&gt; 0 )</f>
        <v>63.099723495119036</v>
      </c>
      <c r="F275" s="233">
        <f xml:space="preserve"> SUM( $E213:F213 ) * N( F213 &lt;&gt; 0 )</f>
        <v>124.53429290879734</v>
      </c>
      <c r="G275" s="233">
        <f xml:space="preserve"> SUM( $E213:G213 ) * N( G213 &lt;&gt; 0 )</f>
        <v>181.17762441783111</v>
      </c>
      <c r="H275" s="233">
        <f xml:space="preserve"> SUM( $E213:H213 ) * N( H213 &lt;&gt; 0 )</f>
        <v>233.10125898220076</v>
      </c>
      <c r="I275" s="233">
        <f xml:space="preserve"> SUM( $E213:I213 ) * N( I213 &lt;&gt; 0 )</f>
        <v>285.91479560111964</v>
      </c>
    </row>
    <row r="276" spans="2:10" x14ac:dyDescent="0.3">
      <c r="C276" s="8" t="s">
        <v>96</v>
      </c>
      <c r="D276" s="11" t="s">
        <v>127</v>
      </c>
      <c r="E276" s="233">
        <f xml:space="preserve"> SUM( $E214:E214 ) * N( E214 &lt;&gt; 0 )</f>
        <v>156.51536847759033</v>
      </c>
      <c r="F276" s="233">
        <f xml:space="preserve"> SUM( $E214:F214 ) * N( F214 &lt;&gt; 0 )</f>
        <v>312.52325682068977</v>
      </c>
      <c r="G276" s="233">
        <f xml:space="preserve"> SUM( $E214:G214 ) * N( G214 &lt;&gt; 0 )</f>
        <v>467.50015827206232</v>
      </c>
      <c r="H276" s="233">
        <f xml:space="preserve"> SUM( $E214:H214 ) * N( H214 &lt;&gt; 0 )</f>
        <v>621.92479836752159</v>
      </c>
      <c r="I276" s="233">
        <f xml:space="preserve"> SUM( $E214:I214 ) * N( I214 &lt;&gt; 0 )</f>
        <v>778.60189989753871</v>
      </c>
    </row>
    <row r="277" spans="2:10" x14ac:dyDescent="0.3">
      <c r="C277" s="8" t="s">
        <v>98</v>
      </c>
      <c r="D277" s="11" t="s">
        <v>127</v>
      </c>
      <c r="E277" s="233">
        <f xml:space="preserve"> SUM( $E215:E215 ) * N( E215 &lt;&gt; 0 )</f>
        <v>125.16417285842374</v>
      </c>
      <c r="F277" s="233">
        <f xml:space="preserve"> SUM( $E215:F215 ) * N( F215 &lt;&gt; 0 )</f>
        <v>245.89551041313428</v>
      </c>
      <c r="G277" s="233">
        <f xml:space="preserve"> SUM( $E215:G215 ) * N( G215 &lt;&gt; 0 )</f>
        <v>359.36411545949341</v>
      </c>
      <c r="H277" s="233">
        <f xml:space="preserve"> SUM( $E215:H215 ) * N( H215 &lt;&gt; 0 )</f>
        <v>466.60768524497109</v>
      </c>
      <c r="I277" s="233">
        <f xml:space="preserve"> SUM( $E215:I215 ) * N( I215 &lt;&gt; 0 )</f>
        <v>575.39436752058941</v>
      </c>
    </row>
    <row r="278" spans="2:10" x14ac:dyDescent="0.3">
      <c r="C278" s="8" t="s">
        <v>100</v>
      </c>
      <c r="D278" s="11" t="s">
        <v>127</v>
      </c>
      <c r="E278" s="233">
        <f xml:space="preserve"> SUM( $E216:E216 ) * N( E216 &lt;&gt; 0 )</f>
        <v>30.400406287799839</v>
      </c>
      <c r="F278" s="233">
        <f xml:space="preserve"> SUM( $E216:F216 ) * N( F216 &lt;&gt; 0 )</f>
        <v>61.594641868051276</v>
      </c>
      <c r="G278" s="233">
        <f xml:space="preserve"> SUM( $E216:G216 ) * N( G216 &lt;&gt; 0 )</f>
        <v>93.815034570071617</v>
      </c>
      <c r="H278" s="233">
        <f xml:space="preserve"> SUM( $E216:H216 ) * N( H216 &lt;&gt; 0 )</f>
        <v>126.89443821472145</v>
      </c>
      <c r="I278" s="233">
        <f xml:space="preserve"> SUM( $E216:I216 ) * N( I216 &lt;&gt; 0 )</f>
        <v>160.9978267804764</v>
      </c>
    </row>
    <row r="279" spans="2:10" x14ac:dyDescent="0.3">
      <c r="C279" s="8" t="s">
        <v>102</v>
      </c>
      <c r="D279" s="11" t="s">
        <v>127</v>
      </c>
      <c r="E279" s="233">
        <f xml:space="preserve"> SUM( $E217:E217 ) * N( E217 &lt;&gt; 0 )</f>
        <v>55.887757589879413</v>
      </c>
      <c r="F279" s="233">
        <f xml:space="preserve"> SUM( $E217:F217 ) * N( F217 &lt;&gt; 0 )</f>
        <v>112.8537186269793</v>
      </c>
      <c r="G279" s="233">
        <f xml:space="preserve"> SUM( $E217:G217 ) * N( G217 &lt;&gt; 0 )</f>
        <v>170.50696587428288</v>
      </c>
      <c r="H279" s="233">
        <f xml:space="preserve"> SUM( $E217:H217 ) * N( H217 &lt;&gt; 0 )</f>
        <v>227.75404301324431</v>
      </c>
      <c r="I279" s="233">
        <f xml:space="preserve"> SUM( $E217:I217 ) * N( I217 &lt;&gt; 0 )</f>
        <v>286.40690672552375</v>
      </c>
    </row>
    <row r="280" spans="2:10" x14ac:dyDescent="0.3">
      <c r="C280" s="8" t="s">
        <v>104</v>
      </c>
      <c r="D280" s="11" t="s">
        <v>127</v>
      </c>
      <c r="E280" s="233">
        <f xml:space="preserve"> SUM( $E218:E218 ) * N( E218 &lt;&gt; 0 )</f>
        <v>27.737939736628995</v>
      </c>
      <c r="F280" s="233">
        <f xml:space="preserve"> SUM( $E218:F218 ) * N( F218 &lt;&gt; 0 )</f>
        <v>55.071552195285335</v>
      </c>
      <c r="G280" s="233">
        <f xml:space="preserve"> SUM( $E218:G218 ) * N( G218 &lt;&gt; 0 )</f>
        <v>81.908887250831199</v>
      </c>
      <c r="H280" s="233">
        <f xml:space="preserve"> SUM( $E218:H218 ) * N( H218 &lt;&gt; 0 )</f>
        <v>107.9336492637474</v>
      </c>
      <c r="I280" s="233">
        <f xml:space="preserve"> SUM( $E218:I218 ) * N( I218 &lt;&gt; 0 )</f>
        <v>133.33588637938149</v>
      </c>
    </row>
    <row r="281" spans="2:10" x14ac:dyDescent="0.3">
      <c r="C281" s="8" t="s">
        <v>106</v>
      </c>
      <c r="D281" s="11" t="s">
        <v>127</v>
      </c>
      <c r="E281" s="233">
        <f xml:space="preserve"> SUM( $E219:E219 ) * N( E219 &lt;&gt; 0 )</f>
        <v>9.7017744691465229</v>
      </c>
      <c r="F281" s="233">
        <f xml:space="preserve"> SUM( $E219:F219 ) * N( F219 &lt;&gt; 0 )</f>
        <v>19.723113168015175</v>
      </c>
      <c r="G281" s="233">
        <f xml:space="preserve"> SUM( $E219:G219 ) * N( G219 &lt;&gt; 0 )</f>
        <v>30.09770897366549</v>
      </c>
      <c r="H281" s="233">
        <f xml:space="preserve"> SUM( $E219:H219 ) * N( H219 &lt;&gt; 0 )</f>
        <v>40.844736527034911</v>
      </c>
      <c r="I281" s="233">
        <f xml:space="preserve"> SUM( $E219:I219 ) * N( I219 &lt;&gt; 0 )</f>
        <v>52.073685926114592</v>
      </c>
    </row>
    <row r="282" spans="2:10" x14ac:dyDescent="0.3">
      <c r="C282" s="8" t="s">
        <v>108</v>
      </c>
      <c r="D282" s="11" t="s">
        <v>127</v>
      </c>
      <c r="E282" s="233">
        <f xml:space="preserve"> SUM( $E220:E220 ) * N( E220 &lt;&gt; 0 )</f>
        <v>4.3557777844170733</v>
      </c>
      <c r="F282" s="233">
        <f xml:space="preserve"> SUM( $E220:F220 ) * N( F220 &lt;&gt; 0 )</f>
        <v>8.7904136855931689</v>
      </c>
      <c r="G282" s="233">
        <f xml:space="preserve"> SUM( $E220:G220 ) * N( G220 &lt;&gt; 0 )</f>
        <v>13.246424025664943</v>
      </c>
      <c r="H282" s="233">
        <f xml:space="preserve"> SUM( $E220:H220 ) * N( H220 &lt;&gt; 0 )</f>
        <v>17.734982976717497</v>
      </c>
      <c r="I282" s="233">
        <f xml:space="preserve"> SUM( $E220:I220 ) * N( I220 &lt;&gt; 0 )</f>
        <v>22.266538280207293</v>
      </c>
    </row>
    <row r="283" spans="2:10" x14ac:dyDescent="0.3">
      <c r="C283" s="8" t="s">
        <v>112</v>
      </c>
      <c r="D283" s="11" t="s">
        <v>127</v>
      </c>
      <c r="E283" s="233">
        <f xml:space="preserve"> SUM( $E221:E221 ) * N( E221 &lt;&gt; 0 )</f>
        <v>19.527277375807952</v>
      </c>
      <c r="F283" s="233">
        <f xml:space="preserve"> SUM( $E221:F221 ) * N( F221 &lt;&gt; 0 )</f>
        <v>39.539954243473829</v>
      </c>
      <c r="G283" s="233">
        <f xml:space="preserve"> SUM( $E221:G221 ) * N( G221 &lt;&gt; 0 )</f>
        <v>59.807238102885989</v>
      </c>
      <c r="H283" s="233">
        <f xml:space="preserve"> SUM( $E221:H221 ) * N( H221 &lt;&gt; 0 )</f>
        <v>80.273617438036752</v>
      </c>
      <c r="I283" s="233">
        <f xml:space="preserve"> SUM( $E221:I221 ) * N( I221 &lt;&gt; 0 )</f>
        <v>101.16963271059998</v>
      </c>
    </row>
    <row r="284" spans="2:10" x14ac:dyDescent="0.3">
      <c r="C284" s="8" t="s">
        <v>114</v>
      </c>
      <c r="D284" s="11" t="s">
        <v>127</v>
      </c>
      <c r="E284" s="233">
        <f xml:space="preserve"> SUM( $E222:E222 ) * N( E222 &lt;&gt; 0 )</f>
        <v>15.001810892648077</v>
      </c>
      <c r="F284" s="233">
        <f xml:space="preserve"> SUM( $E222:F222 ) * N( F222 &lt;&gt; 0 )</f>
        <v>30.091345037947903</v>
      </c>
      <c r="G284" s="233">
        <f xml:space="preserve"> SUM( $E222:G222 ) * N( G222 &lt;&gt; 0 )</f>
        <v>45.651127242181168</v>
      </c>
      <c r="H284" s="233">
        <f xml:space="preserve"> SUM( $E222:H222 ) * N( H222 &lt;&gt; 0 )</f>
        <v>61.83702917677553</v>
      </c>
      <c r="I284" s="233">
        <f xml:space="preserve"> SUM( $E222:I222 ) * N( I222 &lt;&gt; 0 )</f>
        <v>77.895555951105436</v>
      </c>
    </row>
    <row r="285" spans="2:10" x14ac:dyDescent="0.3">
      <c r="C285" s="8" t="s">
        <v>110</v>
      </c>
      <c r="D285" s="11" t="s">
        <v>127</v>
      </c>
      <c r="E285" s="233">
        <f xml:space="preserve"> SUM( $E223:E223 ) * N( E223 &lt;&gt; 0 )</f>
        <v>5.3445456624501571</v>
      </c>
      <c r="F285" s="233">
        <f xml:space="preserve"> SUM( $E223:F223 ) * N( F223 &lt;&gt; 0 )</f>
        <v>10.695952242334407</v>
      </c>
      <c r="G285" s="233">
        <f xml:space="preserve"> SUM( $E223:G223 ) * N( G223 &lt;&gt; 0 )</f>
        <v>16.239899157764434</v>
      </c>
      <c r="H285" s="233">
        <f xml:space="preserve"> SUM( $E223:H223 ) * N( H223 &lt;&gt; 0 )</f>
        <v>21.742430522093521</v>
      </c>
      <c r="I285" s="233">
        <f xml:space="preserve"> SUM( $E223:I223 ) * N( I223 &lt;&gt; 0 )</f>
        <v>27.232901376144611</v>
      </c>
    </row>
    <row r="287" spans="2:10" ht="13.5" x14ac:dyDescent="0.35">
      <c r="B287" s="32" t="s">
        <v>570</v>
      </c>
      <c r="C287" s="32"/>
      <c r="D287" s="33"/>
      <c r="E287" s="32"/>
      <c r="F287" s="32"/>
      <c r="G287" s="32"/>
      <c r="H287" s="32"/>
      <c r="I287" s="32"/>
      <c r="J287" s="32"/>
    </row>
    <row r="289" spans="3:9" x14ac:dyDescent="0.3">
      <c r="C289" s="8" t="s">
        <v>80</v>
      </c>
      <c r="D289" s="11" t="s">
        <v>127</v>
      </c>
      <c r="E289" s="233">
        <f xml:space="preserve"> SUM( $E227:E227 ) * N( E227 &lt;&gt; 0 )</f>
        <v>72.107761123971642</v>
      </c>
      <c r="F289" s="233">
        <f xml:space="preserve"> SUM( $E227:F227 ) * N( F227 &lt;&gt; 0 )</f>
        <v>142.4927541515915</v>
      </c>
      <c r="G289" s="233">
        <f xml:space="preserve"> SUM( $E227:G227 ) * N( G227 &lt;&gt; 0 )</f>
        <v>218.60875415159148</v>
      </c>
      <c r="H289" s="233">
        <f xml:space="preserve"> SUM( $E227:H227 ) * N( H227 &lt;&gt; 0 )</f>
        <v>295.90535806159147</v>
      </c>
      <c r="I289" s="233">
        <f xml:space="preserve"> SUM( $E227:I227 ) * N( I227 &lt;&gt; 0 )</f>
        <v>386.91235806159148</v>
      </c>
    </row>
    <row r="290" spans="3:9" x14ac:dyDescent="0.3">
      <c r="C290" s="8" t="s">
        <v>82</v>
      </c>
      <c r="D290" s="11" t="s">
        <v>127</v>
      </c>
      <c r="E290" s="233">
        <f xml:space="preserve"> SUM( $E228:E228 ) * N( E228 &lt;&gt; 0 )</f>
        <v>62.06</v>
      </c>
      <c r="F290" s="233">
        <f xml:space="preserve"> SUM( $E228:F228 ) * N( F228 &lt;&gt; 0 )</f>
        <v>119.441</v>
      </c>
      <c r="G290" s="233">
        <f xml:space="preserve"> SUM( $E228:G228 ) * N( G228 &lt;&gt; 0 )</f>
        <v>178.398</v>
      </c>
      <c r="H290" s="233">
        <f xml:space="preserve"> SUM( $E228:H228 ) * N( H228 &lt;&gt; 0 )</f>
        <v>234.678</v>
      </c>
      <c r="I290" s="233">
        <f xml:space="preserve"> SUM( $E228:I228 ) * N( I228 &lt;&gt; 0 )</f>
        <v>294.82499999999999</v>
      </c>
    </row>
    <row r="291" spans="3:9" x14ac:dyDescent="0.3">
      <c r="C291" s="8" t="s">
        <v>85</v>
      </c>
      <c r="D291" s="11" t="s">
        <v>127</v>
      </c>
      <c r="E291" s="233">
        <f xml:space="preserve"> SUM( $E229:E229 ) * N( E229 &lt;&gt; 0 )</f>
        <v>2.7454121880208575</v>
      </c>
      <c r="F291" s="233">
        <f xml:space="preserve"> SUM( $E229:F229 ) * N( F229 &lt;&gt; 0 )</f>
        <v>5.2634121880208573</v>
      </c>
      <c r="G291" s="233">
        <f xml:space="preserve"> SUM( $E229:G229 ) * N( G229 &lt;&gt; 0 )</f>
        <v>7.467412188020857</v>
      </c>
      <c r="H291" s="233">
        <f xml:space="preserve"> SUM( $E229:H229 ) * N( H229 &lt;&gt; 0 )</f>
        <v>10.297412188020857</v>
      </c>
      <c r="I291" s="233">
        <f xml:space="preserve"> SUM( $E229:I229 ) * N( I229 &lt;&gt; 0 )</f>
        <v>13.344412188020858</v>
      </c>
    </row>
    <row r="292" spans="3:9" x14ac:dyDescent="0.3">
      <c r="C292" s="8" t="s">
        <v>87</v>
      </c>
      <c r="D292" s="11" t="s">
        <v>127</v>
      </c>
      <c r="E292" s="233">
        <f xml:space="preserve"> SUM( $E230:E230 ) * N( E230 &lt;&gt; 0 )</f>
        <v>44.024000000000008</v>
      </c>
      <c r="F292" s="233">
        <f xml:space="preserve"> SUM( $E230:F230 ) * N( F230 &lt;&gt; 0 )</f>
        <v>89.40900000000002</v>
      </c>
      <c r="G292" s="233">
        <f xml:space="preserve"> SUM( $E230:G230 ) * N( G230 &lt;&gt; 0 )</f>
        <v>138.63200000000001</v>
      </c>
      <c r="H292" s="233">
        <f xml:space="preserve"> SUM( $E230:H230 ) * N( H230 &lt;&gt; 0 )</f>
        <v>195.20500000000001</v>
      </c>
      <c r="I292" s="233">
        <f xml:space="preserve"> SUM( $E230:I230 ) * N( I230 &lt;&gt; 0 )</f>
        <v>262.44900000000001</v>
      </c>
    </row>
    <row r="293" spans="3:9" x14ac:dyDescent="0.3">
      <c r="C293" s="8" t="s">
        <v>89</v>
      </c>
      <c r="D293" s="11" t="s">
        <v>127</v>
      </c>
      <c r="E293" s="233">
        <f xml:space="preserve"> SUM( $E231:E231 ) * N( E231 &lt;&gt; 0 )</f>
        <v>86.736000000000004</v>
      </c>
      <c r="F293" s="233">
        <f xml:space="preserve"> SUM( $E231:F231 ) * N( F231 &lt;&gt; 0 )</f>
        <v>171.291</v>
      </c>
      <c r="G293" s="233">
        <f xml:space="preserve"> SUM( $E231:G231 ) * N( G231 &lt;&gt; 0 )</f>
        <v>265.35599999999999</v>
      </c>
      <c r="H293" s="233">
        <f xml:space="preserve"> SUM( $E231:H231 ) * N( H231 &lt;&gt; 0 )</f>
        <v>364.70600000000002</v>
      </c>
      <c r="I293" s="233">
        <f xml:space="preserve"> SUM( $E231:I231 ) * N( I231 &lt;&gt; 0 )</f>
        <v>480.05900000000003</v>
      </c>
    </row>
    <row r="294" spans="3:9" x14ac:dyDescent="0.3">
      <c r="C294" s="8" t="s">
        <v>91</v>
      </c>
      <c r="D294" s="11" t="s">
        <v>127</v>
      </c>
      <c r="E294" s="233">
        <f xml:space="preserve"> SUM( $E232:E232 ) * N( E232 &lt;&gt; 0 )</f>
        <v>34.946999999999996</v>
      </c>
      <c r="F294" s="233">
        <f xml:space="preserve"> SUM( $E232:F232 ) * N( F232 &lt;&gt; 0 )</f>
        <v>66.930000000000007</v>
      </c>
      <c r="G294" s="233">
        <f xml:space="preserve"> SUM( $E232:G232 ) * N( G232 &lt;&gt; 0 )</f>
        <v>97.98</v>
      </c>
      <c r="H294" s="233">
        <f xml:space="preserve"> SUM( $E232:H232 ) * N( H232 &lt;&gt; 0 )</f>
        <v>125.688</v>
      </c>
      <c r="I294" s="233">
        <f xml:space="preserve"> SUM( $E232:I232 ) * N( I232 &lt;&gt; 0 )</f>
        <v>155.94749999999999</v>
      </c>
    </row>
    <row r="295" spans="3:9" x14ac:dyDescent="0.3">
      <c r="C295" s="8" t="s">
        <v>94</v>
      </c>
      <c r="D295" s="11" t="s">
        <v>127</v>
      </c>
      <c r="E295" s="233">
        <f xml:space="preserve"> SUM( $E233:E233 ) * N( E233 &lt;&gt; 0 )</f>
        <v>81.027000000000001</v>
      </c>
      <c r="F295" s="233">
        <f xml:space="preserve"> SUM( $E233:F233 ) * N( F233 &lt;&gt; 0 )</f>
        <v>167.08499999999998</v>
      </c>
      <c r="G295" s="233">
        <f xml:space="preserve"> SUM( $E233:G233 ) * N( G233 &lt;&gt; 0 )</f>
        <v>243.20399999999998</v>
      </c>
      <c r="H295" s="233">
        <f xml:space="preserve"> SUM( $E233:H233 ) * N( H233 &lt;&gt; 0 )</f>
        <v>306.15199999999999</v>
      </c>
      <c r="I295" s="233">
        <f xml:space="preserve"> SUM( $E233:I233 ) * N( I233 &lt;&gt; 0 )</f>
        <v>388.786</v>
      </c>
    </row>
    <row r="296" spans="3:9" x14ac:dyDescent="0.3">
      <c r="C296" s="8" t="s">
        <v>96</v>
      </c>
      <c r="D296" s="11" t="s">
        <v>127</v>
      </c>
      <c r="E296" s="233">
        <f xml:space="preserve"> SUM( $E234:E234 ) * N( E234 &lt;&gt; 0 )</f>
        <v>162.24193973624713</v>
      </c>
      <c r="F296" s="233">
        <f xml:space="preserve"> SUM( $E234:F234 ) * N( F234 &lt;&gt; 0 )</f>
        <v>325.61293973624709</v>
      </c>
      <c r="G296" s="233">
        <f xml:space="preserve"> SUM( $E234:G234 ) * N( G234 &lt;&gt; 0 )</f>
        <v>497.4129397362471</v>
      </c>
      <c r="H296" s="233">
        <f xml:space="preserve"> SUM( $E234:H234 ) * N( H234 &lt;&gt; 0 )</f>
        <v>675.94093973624706</v>
      </c>
      <c r="I296" s="233">
        <f xml:space="preserve"> SUM( $E234:I234 ) * N( I234 &lt;&gt; 0 )</f>
        <v>892.12393973624705</v>
      </c>
    </row>
    <row r="297" spans="3:9" x14ac:dyDescent="0.3">
      <c r="C297" s="8" t="s">
        <v>98</v>
      </c>
      <c r="D297" s="11" t="s">
        <v>127</v>
      </c>
      <c r="E297" s="233">
        <f xml:space="preserve"> SUM( $E235:E235 ) * N( E235 &lt;&gt; 0 )</f>
        <v>120.30515406956067</v>
      </c>
      <c r="F297" s="233">
        <f xml:space="preserve"> SUM( $E235:F235 ) * N( F235 &lt;&gt; 0 )</f>
        <v>234.75638215606625</v>
      </c>
      <c r="G297" s="233">
        <f xml:space="preserve"> SUM( $E235:G235 ) * N( G235 &lt;&gt; 0 )</f>
        <v>348.37691296632624</v>
      </c>
      <c r="H297" s="233">
        <f xml:space="preserve"> SUM( $E235:H235 ) * N( H235 &lt;&gt; 0 )</f>
        <v>459.31402387410725</v>
      </c>
      <c r="I297" s="233">
        <f xml:space="preserve"> SUM( $E235:I235 ) * N( I235 &lt;&gt; 0 )</f>
        <v>585.33045260929327</v>
      </c>
    </row>
    <row r="298" spans="3:9" x14ac:dyDescent="0.3">
      <c r="C298" s="8" t="s">
        <v>100</v>
      </c>
      <c r="D298" s="11" t="s">
        <v>127</v>
      </c>
      <c r="E298" s="233">
        <f xml:space="preserve"> SUM( $E236:E236 ) * N( E236 &lt;&gt; 0 )</f>
        <v>26.754587758045798</v>
      </c>
      <c r="F298" s="233">
        <f xml:space="preserve"> SUM( $E236:F236 ) * N( F236 &lt;&gt; 0 )</f>
        <v>54.028276804249202</v>
      </c>
      <c r="G298" s="233">
        <f xml:space="preserve"> SUM( $E236:G236 ) * N( G236 &lt;&gt; 0 )</f>
        <v>83.799365423778994</v>
      </c>
      <c r="H298" s="233">
        <f xml:space="preserve"> SUM( $E236:H236 ) * N( H236 &lt;&gt; 0 )</f>
        <v>117.7568471742881</v>
      </c>
      <c r="I298" s="233">
        <f xml:space="preserve"> SUM( $E236:I236 ) * N( I236 &lt;&gt; 0 )</f>
        <v>154.56251878189141</v>
      </c>
    </row>
    <row r="299" spans="3:9" x14ac:dyDescent="0.3">
      <c r="C299" s="8" t="s">
        <v>102</v>
      </c>
      <c r="D299" s="11" t="s">
        <v>127</v>
      </c>
      <c r="E299" s="233">
        <f xml:space="preserve"> SUM( $E237:E237 ) * N( E237 &lt;&gt; 0 )</f>
        <v>56.061300000000003</v>
      </c>
      <c r="F299" s="233">
        <f xml:space="preserve"> SUM( $E237:F237 ) * N( F237 &lt;&gt; 0 )</f>
        <v>109.77430000000001</v>
      </c>
      <c r="G299" s="233">
        <f xml:space="preserve"> SUM( $E237:G237 ) * N( G237 &lt;&gt; 0 )</f>
        <v>167.62630000000001</v>
      </c>
      <c r="H299" s="233">
        <f xml:space="preserve"> SUM( $E237:H237 ) * N( H237 &lt;&gt; 0 )</f>
        <v>228.6173</v>
      </c>
      <c r="I299" s="233">
        <f xml:space="preserve"> SUM( $E237:I237 ) * N( I237 &lt;&gt; 0 )</f>
        <v>296.4563</v>
      </c>
    </row>
    <row r="300" spans="3:9" x14ac:dyDescent="0.3">
      <c r="C300" s="8" t="s">
        <v>104</v>
      </c>
      <c r="D300" s="11" t="s">
        <v>127</v>
      </c>
      <c r="E300" s="233">
        <f xml:space="preserve"> SUM( $E238:E238 ) * N( E238 &lt;&gt; 0 )</f>
        <v>31.254999999999999</v>
      </c>
      <c r="F300" s="233">
        <f xml:space="preserve"> SUM( $E238:F238 ) * N( F238 &lt;&gt; 0 )</f>
        <v>62.629000000000005</v>
      </c>
      <c r="G300" s="233">
        <f xml:space="preserve"> SUM( $E238:G238 ) * N( G238 &lt;&gt; 0 )</f>
        <v>94.371000000000009</v>
      </c>
      <c r="H300" s="233">
        <f xml:space="preserve"> SUM( $E238:H238 ) * N( H238 &lt;&gt; 0 )</f>
        <v>122.21200000000002</v>
      </c>
      <c r="I300" s="233">
        <f xml:space="preserve"> SUM( $E238:I238 ) * N( I238 &lt;&gt; 0 )</f>
        <v>153.03600000000003</v>
      </c>
    </row>
    <row r="301" spans="3:9" x14ac:dyDescent="0.3">
      <c r="C301" s="8" t="s">
        <v>106</v>
      </c>
      <c r="D301" s="11" t="s">
        <v>127</v>
      </c>
      <c r="E301" s="233">
        <f xml:space="preserve"> SUM( $E239:E239 ) * N( E239 &lt;&gt; 0 )</f>
        <v>8.3040000000000003</v>
      </c>
      <c r="F301" s="233">
        <f xml:space="preserve"> SUM( $E239:F239 ) * N( F239 &lt;&gt; 0 )</f>
        <v>16.669999999999998</v>
      </c>
      <c r="G301" s="233">
        <f xml:space="preserve"> SUM( $E239:G239 ) * N( G239 &lt;&gt; 0 )</f>
        <v>26.013999999999996</v>
      </c>
      <c r="H301" s="233">
        <f xml:space="preserve"> SUM( $E239:H239 ) * N( H239 &lt;&gt; 0 )</f>
        <v>36.955999999999996</v>
      </c>
      <c r="I301" s="233">
        <f xml:space="preserve"> SUM( $E239:I239 ) * N( I239 &lt;&gt; 0 )</f>
        <v>49.846289219999996</v>
      </c>
    </row>
    <row r="302" spans="3:9" x14ac:dyDescent="0.3">
      <c r="C302" s="8" t="s">
        <v>108</v>
      </c>
      <c r="D302" s="11" t="s">
        <v>127</v>
      </c>
      <c r="E302" s="233">
        <f xml:space="preserve"> SUM( $E240:E240 ) * N( E240 &lt;&gt; 0 )</f>
        <v>4.7270000000000003</v>
      </c>
      <c r="F302" s="233">
        <f xml:space="preserve"> SUM( $E240:F240 ) * N( F240 &lt;&gt; 0 )</f>
        <v>8.8659999999999997</v>
      </c>
      <c r="G302" s="233">
        <f xml:space="preserve"> SUM( $E240:G240 ) * N( G240 &lt;&gt; 0 )</f>
        <v>13.777999999999999</v>
      </c>
      <c r="H302" s="233">
        <f xml:space="preserve"> SUM( $E240:H240 ) * N( H240 &lt;&gt; 0 )</f>
        <v>18.334</v>
      </c>
      <c r="I302" s="233">
        <f xml:space="preserve"> SUM( $E240:I240 ) * N( I240 &lt;&gt; 0 )</f>
        <v>22.992000000000001</v>
      </c>
    </row>
    <row r="303" spans="3:9" x14ac:dyDescent="0.3">
      <c r="C303" s="8" t="s">
        <v>112</v>
      </c>
      <c r="D303" s="11" t="s">
        <v>127</v>
      </c>
      <c r="E303" s="233">
        <f xml:space="preserve"> SUM( $E241:E241 ) * N( E241 &lt;&gt; 0 )</f>
        <v>17.419999999999998</v>
      </c>
      <c r="F303" s="233">
        <f xml:space="preserve"> SUM( $E241:F241 ) * N( F241 &lt;&gt; 0 )</f>
        <v>33.146000000000001</v>
      </c>
      <c r="G303" s="233">
        <f xml:space="preserve"> SUM( $E241:G241 ) * N( G241 &lt;&gt; 0 )</f>
        <v>48.322000000000003</v>
      </c>
      <c r="H303" s="233">
        <f xml:space="preserve"> SUM( $E241:H241 ) * N( H241 &lt;&gt; 0 )</f>
        <v>64.282000000000011</v>
      </c>
      <c r="I303" s="233">
        <f xml:space="preserve"> SUM( $E241:I241 ) * N( I241 &lt;&gt; 0 )</f>
        <v>82.872000000000014</v>
      </c>
    </row>
    <row r="304" spans="3:9" x14ac:dyDescent="0.3">
      <c r="C304" s="8" t="s">
        <v>114</v>
      </c>
      <c r="D304" s="11" t="s">
        <v>127</v>
      </c>
      <c r="E304" s="233">
        <f xml:space="preserve"> SUM( $E242:E242 ) * N( E242 &lt;&gt; 0 )</f>
        <v>13.076120548859775</v>
      </c>
      <c r="F304" s="233">
        <f xml:space="preserve"> SUM( $E242:F242 ) * N( F242 &lt;&gt; 0 )</f>
        <v>26.069406615064189</v>
      </c>
      <c r="G304" s="233">
        <f xml:space="preserve"> SUM( $E242:G242 ) * N( G242 &lt;&gt; 0 )</f>
        <v>38.743611569496586</v>
      </c>
      <c r="H304" s="233">
        <f xml:space="preserve"> SUM( $E242:H242 ) * N( H242 &lt;&gt; 0 )</f>
        <v>51.688611569496587</v>
      </c>
      <c r="I304" s="233">
        <f xml:space="preserve"> SUM( $E242:I242 ) * N( I242 &lt;&gt; 0 )</f>
        <v>72.327611569496582</v>
      </c>
    </row>
    <row r="305" spans="2:10" x14ac:dyDescent="0.3">
      <c r="C305" s="8" t="s">
        <v>110</v>
      </c>
      <c r="D305" s="11" t="s">
        <v>127</v>
      </c>
      <c r="E305" s="233">
        <f xml:space="preserve"> SUM( $E243:E243 ) * N( E243 &lt;&gt; 0 )</f>
        <v>6.2610000000000001</v>
      </c>
      <c r="F305" s="233">
        <f xml:space="preserve"> SUM( $E243:F243 ) * N( F243 &lt;&gt; 0 )</f>
        <v>12.55</v>
      </c>
      <c r="G305" s="233">
        <f xml:space="preserve"> SUM( $E243:G243 ) * N( G243 &lt;&gt; 0 )</f>
        <v>19.742000000000001</v>
      </c>
      <c r="H305" s="233">
        <f xml:space="preserve"> SUM( $E243:H243 ) * N( H243 &lt;&gt; 0 )</f>
        <v>27.816000000000003</v>
      </c>
      <c r="I305" s="233">
        <f xml:space="preserve"> SUM( $E243:I243 ) * N( I243 &lt;&gt; 0 )</f>
        <v>36.056000000000004</v>
      </c>
    </row>
    <row r="307" spans="2:10" ht="13.5" x14ac:dyDescent="0.35">
      <c r="B307" s="32" t="s">
        <v>571</v>
      </c>
      <c r="C307" s="32"/>
      <c r="D307" s="33"/>
      <c r="E307" s="32"/>
      <c r="F307" s="32"/>
      <c r="G307" s="32"/>
      <c r="H307" s="32"/>
      <c r="I307" s="32"/>
      <c r="J307" s="32"/>
    </row>
    <row r="309" spans="2:10" x14ac:dyDescent="0.3">
      <c r="C309" s="8" t="s">
        <v>80</v>
      </c>
      <c r="D309" s="11" t="s">
        <v>127</v>
      </c>
      <c r="E309" s="14">
        <f xml:space="preserve"> E289 - E269</f>
        <v>1.1153991881613337</v>
      </c>
      <c r="F309" s="14">
        <f xml:space="preserve"> F289 - F269</f>
        <v>-1.9935804247471651</v>
      </c>
      <c r="G309" s="14">
        <f xml:space="preserve"> G289 - G269</f>
        <v>-0.96671271867083419</v>
      </c>
      <c r="H309" s="14">
        <f xml:space="preserve"> H289 - H269</f>
        <v>-0.26586068117575223</v>
      </c>
      <c r="I309" s="14">
        <f xml:space="preserve"> I289 - I269</f>
        <v>12.836326372782025</v>
      </c>
    </row>
    <row r="310" spans="2:10" x14ac:dyDescent="0.3">
      <c r="C310" s="8" t="s">
        <v>82</v>
      </c>
      <c r="D310" s="11" t="s">
        <v>127</v>
      </c>
      <c r="E310" s="14">
        <f t="shared" ref="E310:I325" si="4" xml:space="preserve"> E290 - E270</f>
        <v>7.7418327141969314</v>
      </c>
      <c r="F310" s="14">
        <f t="shared" si="4"/>
        <v>12.082085085985369</v>
      </c>
      <c r="G310" s="14">
        <f t="shared" si="4"/>
        <v>19.534230788757526</v>
      </c>
      <c r="H310" s="14">
        <f t="shared" si="4"/>
        <v>25.989251580319717</v>
      </c>
      <c r="I310" s="14">
        <f t="shared" si="4"/>
        <v>36.357306197663434</v>
      </c>
    </row>
    <row r="311" spans="2:10" x14ac:dyDescent="0.3">
      <c r="C311" s="8" t="s">
        <v>85</v>
      </c>
      <c r="D311" s="11" t="s">
        <v>127</v>
      </c>
      <c r="E311" s="14">
        <f t="shared" si="4"/>
        <v>5.9643634148813796E-2</v>
      </c>
      <c r="F311" s="14">
        <f t="shared" si="4"/>
        <v>-0.14028412746843877</v>
      </c>
      <c r="G311" s="14">
        <f t="shared" si="4"/>
        <v>-0.68224273358692322</v>
      </c>
      <c r="H311" s="14">
        <f t="shared" si="4"/>
        <v>-0.20768900596881323</v>
      </c>
      <c r="I311" s="14">
        <f t="shared" si="4"/>
        <v>0.48395740256201059</v>
      </c>
    </row>
    <row r="312" spans="2:10" x14ac:dyDescent="0.3">
      <c r="C312" s="8" t="s">
        <v>87</v>
      </c>
      <c r="D312" s="11" t="s">
        <v>127</v>
      </c>
      <c r="E312" s="14">
        <f t="shared" si="4"/>
        <v>-7.988817867866878</v>
      </c>
      <c r="F312" s="14">
        <f t="shared" si="4"/>
        <v>-15.290961368598005</v>
      </c>
      <c r="G312" s="14">
        <f t="shared" si="4"/>
        <v>-19.211228359305267</v>
      </c>
      <c r="H312" s="14">
        <f t="shared" si="4"/>
        <v>-16.246274930127612</v>
      </c>
      <c r="I312" s="14">
        <f t="shared" si="4"/>
        <v>-3.5060748262306447</v>
      </c>
    </row>
    <row r="313" spans="2:10" x14ac:dyDescent="0.3">
      <c r="C313" s="8" t="s">
        <v>89</v>
      </c>
      <c r="D313" s="11" t="s">
        <v>127</v>
      </c>
      <c r="E313" s="14">
        <f t="shared" si="4"/>
        <v>-21.633845417708912</v>
      </c>
      <c r="F313" s="14">
        <f t="shared" si="4"/>
        <v>-46.714684644485487</v>
      </c>
      <c r="G313" s="14">
        <f t="shared" si="4"/>
        <v>-66.339707366591483</v>
      </c>
      <c r="H313" s="14">
        <f t="shared" si="4"/>
        <v>-81.480233783321751</v>
      </c>
      <c r="I313" s="14">
        <f t="shared" si="4"/>
        <v>-81.957869183343462</v>
      </c>
    </row>
    <row r="314" spans="2:10" x14ac:dyDescent="0.3">
      <c r="C314" s="8" t="s">
        <v>91</v>
      </c>
      <c r="D314" s="11" t="s">
        <v>127</v>
      </c>
      <c r="E314" s="14">
        <f t="shared" si="4"/>
        <v>-5.8008264858038672E-2</v>
      </c>
      <c r="F314" s="14">
        <f t="shared" si="4"/>
        <v>-3.0159815336930649</v>
      </c>
      <c r="G314" s="14">
        <f t="shared" si="4"/>
        <v>-7.5916830545770466</v>
      </c>
      <c r="H314" s="14">
        <f t="shared" si="4"/>
        <v>-15.462219635848371</v>
      </c>
      <c r="I314" s="14">
        <f t="shared" si="4"/>
        <v>-20.835121625719637</v>
      </c>
    </row>
    <row r="315" spans="2:10" x14ac:dyDescent="0.3">
      <c r="C315" s="8" t="s">
        <v>94</v>
      </c>
      <c r="D315" s="11" t="s">
        <v>127</v>
      </c>
      <c r="E315" s="14">
        <f t="shared" si="4"/>
        <v>17.927276504880965</v>
      </c>
      <c r="F315" s="14">
        <f t="shared" si="4"/>
        <v>42.550707091202639</v>
      </c>
      <c r="G315" s="14">
        <f t="shared" si="4"/>
        <v>62.026375582168868</v>
      </c>
      <c r="H315" s="14">
        <f t="shared" si="4"/>
        <v>73.050741017799226</v>
      </c>
      <c r="I315" s="14">
        <f t="shared" si="4"/>
        <v>102.87120439888037</v>
      </c>
    </row>
    <row r="316" spans="2:10" x14ac:dyDescent="0.3">
      <c r="C316" s="8" t="s">
        <v>96</v>
      </c>
      <c r="D316" s="11" t="s">
        <v>127</v>
      </c>
      <c r="E316" s="14">
        <f t="shared" si="4"/>
        <v>5.7265712586568043</v>
      </c>
      <c r="F316" s="14">
        <f t="shared" si="4"/>
        <v>13.089682915557319</v>
      </c>
      <c r="G316" s="14">
        <f t="shared" si="4"/>
        <v>29.912781464184775</v>
      </c>
      <c r="H316" s="14">
        <f t="shared" si="4"/>
        <v>54.016141368725471</v>
      </c>
      <c r="I316" s="14">
        <f t="shared" si="4"/>
        <v>113.52203983870834</v>
      </c>
    </row>
    <row r="317" spans="2:10" x14ac:dyDescent="0.3">
      <c r="C317" s="8" t="s">
        <v>98</v>
      </c>
      <c r="D317" s="11" t="s">
        <v>127</v>
      </c>
      <c r="E317" s="14">
        <f t="shared" si="4"/>
        <v>-4.859018788863068</v>
      </c>
      <c r="F317" s="14">
        <f t="shared" si="4"/>
        <v>-11.139128257068023</v>
      </c>
      <c r="G317" s="14">
        <f t="shared" si="4"/>
        <v>-10.98720249316716</v>
      </c>
      <c r="H317" s="14">
        <f t="shared" si="4"/>
        <v>-7.2936613708638447</v>
      </c>
      <c r="I317" s="14">
        <f t="shared" si="4"/>
        <v>9.9360850887038623</v>
      </c>
    </row>
    <row r="318" spans="2:10" x14ac:dyDescent="0.3">
      <c r="C318" s="8" t="s">
        <v>100</v>
      </c>
      <c r="D318" s="11" t="s">
        <v>127</v>
      </c>
      <c r="E318" s="14">
        <f t="shared" si="4"/>
        <v>-3.6458185297540417</v>
      </c>
      <c r="F318" s="14">
        <f t="shared" si="4"/>
        <v>-7.5663650638020741</v>
      </c>
      <c r="G318" s="14">
        <f t="shared" si="4"/>
        <v>-10.015669146292623</v>
      </c>
      <c r="H318" s="14">
        <f t="shared" si="4"/>
        <v>-9.1375910404333496</v>
      </c>
      <c r="I318" s="14">
        <f t="shared" si="4"/>
        <v>-6.4353079985849888</v>
      </c>
    </row>
    <row r="319" spans="2:10" x14ac:dyDescent="0.3">
      <c r="C319" s="8" t="s">
        <v>102</v>
      </c>
      <c r="D319" s="11" t="s">
        <v>127</v>
      </c>
      <c r="E319" s="14">
        <f t="shared" si="4"/>
        <v>0.17354241012058935</v>
      </c>
      <c r="F319" s="14">
        <f t="shared" si="4"/>
        <v>-3.0794186269792903</v>
      </c>
      <c r="G319" s="14">
        <f t="shared" si="4"/>
        <v>-2.8806658742828688</v>
      </c>
      <c r="H319" s="14">
        <f t="shared" si="4"/>
        <v>0.86325698675568674</v>
      </c>
      <c r="I319" s="14">
        <f t="shared" si="4"/>
        <v>10.049393274476245</v>
      </c>
    </row>
    <row r="320" spans="2:10" x14ac:dyDescent="0.3">
      <c r="C320" s="8" t="s">
        <v>104</v>
      </c>
      <c r="D320" s="11" t="s">
        <v>127</v>
      </c>
      <c r="E320" s="14">
        <f t="shared" si="4"/>
        <v>3.517060263371004</v>
      </c>
      <c r="F320" s="14">
        <f t="shared" si="4"/>
        <v>7.5574478047146698</v>
      </c>
      <c r="G320" s="14">
        <f t="shared" si="4"/>
        <v>12.46211274916881</v>
      </c>
      <c r="H320" s="14">
        <f t="shared" si="4"/>
        <v>14.278350736252619</v>
      </c>
      <c r="I320" s="14">
        <f t="shared" si="4"/>
        <v>19.700113620618538</v>
      </c>
    </row>
    <row r="321" spans="2:10" x14ac:dyDescent="0.3">
      <c r="C321" s="8" t="s">
        <v>106</v>
      </c>
      <c r="D321" s="11" t="s">
        <v>127</v>
      </c>
      <c r="E321" s="14">
        <f t="shared" si="4"/>
        <v>-1.3977744691465226</v>
      </c>
      <c r="F321" s="14">
        <f t="shared" si="4"/>
        <v>-3.0531131680151766</v>
      </c>
      <c r="G321" s="14">
        <f t="shared" si="4"/>
        <v>-4.0837089736654946</v>
      </c>
      <c r="H321" s="14">
        <f t="shared" si="4"/>
        <v>-3.888736527034915</v>
      </c>
      <c r="I321" s="14">
        <f t="shared" si="4"/>
        <v>-2.2273967061145967</v>
      </c>
    </row>
    <row r="322" spans="2:10" x14ac:dyDescent="0.3">
      <c r="C322" s="8" t="s">
        <v>108</v>
      </c>
      <c r="D322" s="11" t="s">
        <v>127</v>
      </c>
      <c r="E322" s="14">
        <f t="shared" si="4"/>
        <v>0.37122221558292701</v>
      </c>
      <c r="F322" s="14">
        <f t="shared" si="4"/>
        <v>7.5586314406830724E-2</v>
      </c>
      <c r="G322" s="14">
        <f t="shared" si="4"/>
        <v>0.53157597433505543</v>
      </c>
      <c r="H322" s="14">
        <f t="shared" si="4"/>
        <v>0.59901702328250295</v>
      </c>
      <c r="I322" s="14">
        <f t="shared" si="4"/>
        <v>0.72546171979270824</v>
      </c>
    </row>
    <row r="323" spans="2:10" x14ac:dyDescent="0.3">
      <c r="C323" s="8" t="s">
        <v>112</v>
      </c>
      <c r="D323" s="11" t="s">
        <v>127</v>
      </c>
      <c r="E323" s="14">
        <f t="shared" si="4"/>
        <v>-2.1072773758079535</v>
      </c>
      <c r="F323" s="14">
        <f t="shared" si="4"/>
        <v>-6.3939542434738286</v>
      </c>
      <c r="G323" s="14">
        <f t="shared" si="4"/>
        <v>-11.485238102885987</v>
      </c>
      <c r="H323" s="14">
        <f t="shared" si="4"/>
        <v>-15.991617438036741</v>
      </c>
      <c r="I323" s="14">
        <f t="shared" si="4"/>
        <v>-18.29763271059997</v>
      </c>
    </row>
    <row r="324" spans="2:10" x14ac:dyDescent="0.3">
      <c r="C324" s="8" t="s">
        <v>114</v>
      </c>
      <c r="D324" s="11" t="s">
        <v>127</v>
      </c>
      <c r="E324" s="14">
        <f t="shared" si="4"/>
        <v>-1.9256903437883022</v>
      </c>
      <c r="F324" s="14">
        <f t="shared" si="4"/>
        <v>-4.0219384228837143</v>
      </c>
      <c r="G324" s="14">
        <f t="shared" si="4"/>
        <v>-6.9075156726845819</v>
      </c>
      <c r="H324" s="14">
        <f t="shared" si="4"/>
        <v>-10.148417607278944</v>
      </c>
      <c r="I324" s="14">
        <f t="shared" si="4"/>
        <v>-5.5679443816088536</v>
      </c>
    </row>
    <row r="325" spans="2:10" x14ac:dyDescent="0.3">
      <c r="C325" s="8" t="s">
        <v>110</v>
      </c>
      <c r="D325" s="11" t="s">
        <v>127</v>
      </c>
      <c r="E325" s="14">
        <f t="shared" si="4"/>
        <v>0.91645433754984307</v>
      </c>
      <c r="F325" s="14">
        <f t="shared" si="4"/>
        <v>1.8540477576655938</v>
      </c>
      <c r="G325" s="14">
        <f t="shared" si="4"/>
        <v>3.5021008422355671</v>
      </c>
      <c r="H325" s="14">
        <f t="shared" si="4"/>
        <v>6.0735694779064815</v>
      </c>
      <c r="I325" s="14">
        <f t="shared" si="4"/>
        <v>8.8230986238553939</v>
      </c>
    </row>
    <row r="327" spans="2:10" ht="13.5" x14ac:dyDescent="0.35">
      <c r="B327" s="32" t="s">
        <v>572</v>
      </c>
      <c r="C327" s="32"/>
      <c r="D327" s="33"/>
      <c r="E327" s="32"/>
      <c r="F327" s="32"/>
      <c r="G327" s="32"/>
      <c r="H327" s="32"/>
      <c r="I327" s="32"/>
      <c r="J327" s="32"/>
    </row>
    <row r="329" spans="2:10" x14ac:dyDescent="0.3">
      <c r="C329" s="8" t="s">
        <v>80</v>
      </c>
      <c r="D329" s="11" t="s">
        <v>133</v>
      </c>
      <c r="E329" s="234">
        <f xml:space="preserve"> IFERROR( E309 / E269, 0 )</f>
        <v>1.5711537942206408E-2</v>
      </c>
      <c r="F329" s="234">
        <f xml:space="preserve"> IFERROR( F309 / F269, 0 )</f>
        <v>-1.3797709178468131E-2</v>
      </c>
      <c r="G329" s="234">
        <f xml:space="preserve"> IFERROR( G309 / G269, 0 )</f>
        <v>-4.4026444868816928E-3</v>
      </c>
      <c r="H329" s="234">
        <f xml:space="preserve"> IFERROR( H309 / H269, 0 )</f>
        <v>-8.9765873370247862E-4</v>
      </c>
      <c r="I329" s="234">
        <f xml:space="preserve"> IFERROR( I309 / I269, 0 )</f>
        <v>3.4314752310729314E-2</v>
      </c>
    </row>
    <row r="330" spans="2:10" x14ac:dyDescent="0.3">
      <c r="C330" s="8" t="s">
        <v>82</v>
      </c>
      <c r="D330" s="11" t="s">
        <v>133</v>
      </c>
      <c r="E330" s="234">
        <f t="shared" ref="E330:I345" si="5" xml:space="preserve"> IFERROR( E310 / E270, 0 )</f>
        <v>0.14252750232647088</v>
      </c>
      <c r="F330" s="234">
        <f t="shared" si="5"/>
        <v>0.11253918778577533</v>
      </c>
      <c r="G330" s="234">
        <f t="shared" si="5"/>
        <v>0.1229621510665701</v>
      </c>
      <c r="H330" s="234">
        <f t="shared" si="5"/>
        <v>0.12453595019916663</v>
      </c>
      <c r="I330" s="234">
        <f t="shared" si="5"/>
        <v>0.14066479900373052</v>
      </c>
    </row>
    <row r="331" spans="2:10" x14ac:dyDescent="0.3">
      <c r="C331" s="8" t="s">
        <v>85</v>
      </c>
      <c r="D331" s="11" t="s">
        <v>133</v>
      </c>
      <c r="E331" s="234">
        <f t="shared" si="5"/>
        <v>2.2207287393705689E-2</v>
      </c>
      <c r="F331" s="234">
        <f t="shared" si="5"/>
        <v>-2.5960771900953184E-2</v>
      </c>
      <c r="G331" s="234">
        <f t="shared" si="5"/>
        <v>-8.3714309397081688E-2</v>
      </c>
      <c r="H331" s="234">
        <f t="shared" si="5"/>
        <v>-1.9770300364896937E-2</v>
      </c>
      <c r="I331" s="234">
        <f t="shared" si="5"/>
        <v>3.7631437661848094E-2</v>
      </c>
    </row>
    <row r="332" spans="2:10" x14ac:dyDescent="0.3">
      <c r="C332" s="8" t="s">
        <v>87</v>
      </c>
      <c r="D332" s="11" t="s">
        <v>133</v>
      </c>
      <c r="E332" s="234">
        <f t="shared" si="5"/>
        <v>-0.15359325249713701</v>
      </c>
      <c r="F332" s="234">
        <f t="shared" si="5"/>
        <v>-0.14604553018664362</v>
      </c>
      <c r="G332" s="234">
        <f t="shared" si="5"/>
        <v>-0.1217108174927462</v>
      </c>
      <c r="H332" s="234">
        <f t="shared" si="5"/>
        <v>-7.6832239178960079E-2</v>
      </c>
      <c r="I332" s="234">
        <f t="shared" si="5"/>
        <v>-1.3182958920868267E-2</v>
      </c>
    </row>
    <row r="333" spans="2:10" x14ac:dyDescent="0.3">
      <c r="C333" s="8" t="s">
        <v>89</v>
      </c>
      <c r="D333" s="11" t="s">
        <v>133</v>
      </c>
      <c r="E333" s="234">
        <f t="shared" si="5"/>
        <v>-0.19962975248623621</v>
      </c>
      <c r="F333" s="234">
        <f t="shared" si="5"/>
        <v>-0.21428195654927912</v>
      </c>
      <c r="G333" s="234">
        <f t="shared" si="5"/>
        <v>-0.20000170606149137</v>
      </c>
      <c r="H333" s="234">
        <f t="shared" si="5"/>
        <v>-0.1826148536507525</v>
      </c>
      <c r="I333" s="234">
        <f t="shared" si="5"/>
        <v>-0.14582813021686511</v>
      </c>
    </row>
    <row r="334" spans="2:10" x14ac:dyDescent="0.3">
      <c r="C334" s="8" t="s">
        <v>91</v>
      </c>
      <c r="D334" s="11" t="s">
        <v>133</v>
      </c>
      <c r="E334" s="234">
        <f t="shared" si="5"/>
        <v>-1.6571418700755999E-3</v>
      </c>
      <c r="F334" s="234">
        <f t="shared" si="5"/>
        <v>-4.3118724872568452E-2</v>
      </c>
      <c r="G334" s="234">
        <f t="shared" si="5"/>
        <v>-7.1910220950559239E-2</v>
      </c>
      <c r="H334" s="234">
        <f t="shared" si="5"/>
        <v>-0.10954442490942735</v>
      </c>
      <c r="I334" s="234">
        <f t="shared" si="5"/>
        <v>-0.1178572952144092</v>
      </c>
    </row>
    <row r="335" spans="2:10" x14ac:dyDescent="0.3">
      <c r="C335" s="8" t="s">
        <v>94</v>
      </c>
      <c r="D335" s="11" t="s">
        <v>133</v>
      </c>
      <c r="E335" s="234">
        <f t="shared" si="5"/>
        <v>0.28411022286441073</v>
      </c>
      <c r="F335" s="234">
        <f t="shared" si="5"/>
        <v>0.34167863403186977</v>
      </c>
      <c r="G335" s="234">
        <f t="shared" si="5"/>
        <v>0.34235119144251436</v>
      </c>
      <c r="H335" s="234">
        <f t="shared" si="5"/>
        <v>0.31338629974271082</v>
      </c>
      <c r="I335" s="234">
        <f t="shared" si="5"/>
        <v>0.35979671560053228</v>
      </c>
    </row>
    <row r="336" spans="2:10" x14ac:dyDescent="0.3">
      <c r="C336" s="8" t="s">
        <v>96</v>
      </c>
      <c r="D336" s="11" t="s">
        <v>133</v>
      </c>
      <c r="E336" s="234">
        <f t="shared" si="5"/>
        <v>3.6587916665044476E-2</v>
      </c>
      <c r="F336" s="234">
        <f t="shared" si="5"/>
        <v>4.1883868255819197E-2</v>
      </c>
      <c r="G336" s="234">
        <f t="shared" si="5"/>
        <v>6.3984537619722032E-2</v>
      </c>
      <c r="H336" s="234">
        <f t="shared" si="5"/>
        <v>8.6853171815163818E-2</v>
      </c>
      <c r="I336" s="234">
        <f t="shared" si="5"/>
        <v>0.14580241822380274</v>
      </c>
    </row>
    <row r="337" spans="2:10" x14ac:dyDescent="0.3">
      <c r="C337" s="8" t="s">
        <v>98</v>
      </c>
      <c r="D337" s="11" t="s">
        <v>133</v>
      </c>
      <c r="E337" s="234">
        <f t="shared" si="5"/>
        <v>-3.8821163260186468E-2</v>
      </c>
      <c r="F337" s="234">
        <f t="shared" si="5"/>
        <v>-4.5300250656683146E-2</v>
      </c>
      <c r="G337" s="234">
        <f t="shared" si="5"/>
        <v>-3.0574011206206841E-2</v>
      </c>
      <c r="H337" s="234">
        <f t="shared" si="5"/>
        <v>-1.5631249980451224E-2</v>
      </c>
      <c r="I337" s="234">
        <f t="shared" si="5"/>
        <v>1.7268304400543714E-2</v>
      </c>
    </row>
    <row r="338" spans="2:10" x14ac:dyDescent="0.3">
      <c r="C338" s="8" t="s">
        <v>100</v>
      </c>
      <c r="D338" s="11" t="s">
        <v>133</v>
      </c>
      <c r="E338" s="234">
        <f t="shared" si="5"/>
        <v>-0.1199266383231584</v>
      </c>
      <c r="F338" s="234">
        <f t="shared" si="5"/>
        <v>-0.1228412867471626</v>
      </c>
      <c r="G338" s="234">
        <f t="shared" si="5"/>
        <v>-0.10675974477003251</v>
      </c>
      <c r="H338" s="234">
        <f t="shared" si="5"/>
        <v>-7.2009389607536542E-2</v>
      </c>
      <c r="I338" s="234">
        <f t="shared" si="5"/>
        <v>-3.997139667828966E-2</v>
      </c>
    </row>
    <row r="339" spans="2:10" x14ac:dyDescent="0.3">
      <c r="C339" s="8" t="s">
        <v>102</v>
      </c>
      <c r="D339" s="11" t="s">
        <v>133</v>
      </c>
      <c r="E339" s="234">
        <f t="shared" si="5"/>
        <v>3.1051954418012963E-3</v>
      </c>
      <c r="F339" s="234">
        <f t="shared" si="5"/>
        <v>-2.7286815750908813E-2</v>
      </c>
      <c r="G339" s="234">
        <f t="shared" si="5"/>
        <v>-1.6894710779187892E-2</v>
      </c>
      <c r="H339" s="234">
        <f t="shared" si="5"/>
        <v>3.790303677311611E-3</v>
      </c>
      <c r="I339" s="234">
        <f t="shared" si="5"/>
        <v>3.5087817501925737E-2</v>
      </c>
    </row>
    <row r="340" spans="2:10" x14ac:dyDescent="0.3">
      <c r="C340" s="8" t="s">
        <v>104</v>
      </c>
      <c r="D340" s="11" t="s">
        <v>133</v>
      </c>
      <c r="E340" s="234">
        <f t="shared" si="5"/>
        <v>0.12679601645851848</v>
      </c>
      <c r="F340" s="234">
        <f t="shared" si="5"/>
        <v>0.13722961317516055</v>
      </c>
      <c r="G340" s="234">
        <f t="shared" si="5"/>
        <v>0.15214603893965542</v>
      </c>
      <c r="H340" s="234">
        <f t="shared" si="5"/>
        <v>0.13228822367862264</v>
      </c>
      <c r="I340" s="234">
        <f t="shared" si="5"/>
        <v>0.14774802309834031</v>
      </c>
    </row>
    <row r="341" spans="2:10" x14ac:dyDescent="0.3">
      <c r="C341" s="8" t="s">
        <v>106</v>
      </c>
      <c r="D341" s="11" t="s">
        <v>133</v>
      </c>
      <c r="E341" s="234">
        <f t="shared" si="5"/>
        <v>-0.14407410454569003</v>
      </c>
      <c r="F341" s="234">
        <f t="shared" si="5"/>
        <v>-0.15479874510715619</v>
      </c>
      <c r="G341" s="234">
        <f t="shared" si="5"/>
        <v>-0.13568172172967072</v>
      </c>
      <c r="H341" s="234">
        <f xml:space="preserve"> IFERROR( H321 / H281, 0 )</f>
        <v>-9.5207776024237079E-2</v>
      </c>
      <c r="I341" s="234">
        <f t="shared" si="5"/>
        <v>-4.2773939783616752E-2</v>
      </c>
    </row>
    <row r="342" spans="2:10" x14ac:dyDescent="0.3">
      <c r="C342" s="8" t="s">
        <v>108</v>
      </c>
      <c r="D342" s="11" t="s">
        <v>133</v>
      </c>
      <c r="E342" s="234">
        <f t="shared" si="5"/>
        <v>8.5225241955865089E-2</v>
      </c>
      <c r="F342" s="234">
        <f t="shared" si="5"/>
        <v>8.5987209601649395E-3</v>
      </c>
      <c r="G342" s="234">
        <f t="shared" si="5"/>
        <v>4.0129771876932757E-2</v>
      </c>
      <c r="H342" s="234">
        <f t="shared" si="5"/>
        <v>3.3776013434514883E-2</v>
      </c>
      <c r="I342" s="234">
        <f t="shared" si="5"/>
        <v>3.2580804014675717E-2</v>
      </c>
    </row>
    <row r="343" spans="2:10" x14ac:dyDescent="0.3">
      <c r="C343" s="8" t="s">
        <v>112</v>
      </c>
      <c r="D343" s="11" t="s">
        <v>133</v>
      </c>
      <c r="E343" s="234">
        <f t="shared" si="5"/>
        <v>-0.10791455128397098</v>
      </c>
      <c r="F343" s="234">
        <f t="shared" si="5"/>
        <v>-0.16170869101420793</v>
      </c>
      <c r="G343" s="234">
        <f t="shared" si="5"/>
        <v>-0.19203759389671213</v>
      </c>
      <c r="H343" s="234">
        <f t="shared" si="5"/>
        <v>-0.19921386313978784</v>
      </c>
      <c r="I343" s="234">
        <f t="shared" si="5"/>
        <v>-0.1808609186408843</v>
      </c>
    </row>
    <row r="344" spans="2:10" x14ac:dyDescent="0.3">
      <c r="C344" s="8" t="s">
        <v>114</v>
      </c>
      <c r="D344" s="11" t="s">
        <v>133</v>
      </c>
      <c r="E344" s="234">
        <f t="shared" si="5"/>
        <v>-0.12836385937460545</v>
      </c>
      <c r="F344" s="234">
        <f t="shared" si="5"/>
        <v>-0.13365764866315172</v>
      </c>
      <c r="G344" s="234">
        <f t="shared" si="5"/>
        <v>-0.15131095528134317</v>
      </c>
      <c r="H344" s="234">
        <f t="shared" si="5"/>
        <v>-0.16411554278048079</v>
      </c>
      <c r="I344" s="234">
        <f t="shared" si="5"/>
        <v>-7.1479615410971822E-2</v>
      </c>
    </row>
    <row r="345" spans="2:10" x14ac:dyDescent="0.3">
      <c r="C345" s="8" t="s">
        <v>110</v>
      </c>
      <c r="D345" s="11" t="s">
        <v>133</v>
      </c>
      <c r="E345" s="234">
        <f t="shared" si="5"/>
        <v>0.17147469503136459</v>
      </c>
      <c r="F345" s="234">
        <f t="shared" si="5"/>
        <v>0.17334106544785258</v>
      </c>
      <c r="G345" s="234">
        <f t="shared" si="5"/>
        <v>0.21564794265124379</v>
      </c>
      <c r="H345" s="234">
        <f t="shared" si="5"/>
        <v>0.27934179077793708</v>
      </c>
      <c r="I345" s="234">
        <f t="shared" si="5"/>
        <v>0.32398672847925869</v>
      </c>
    </row>
    <row r="347" spans="2:10" x14ac:dyDescent="0.3">
      <c r="B347" s="160" t="s">
        <v>25</v>
      </c>
      <c r="C347" s="160"/>
      <c r="D347" s="161"/>
      <c r="E347" s="160"/>
      <c r="F347" s="160"/>
      <c r="G347" s="160"/>
      <c r="H347" s="160"/>
      <c r="I347" s="160"/>
      <c r="J347" s="16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Asset xmlns="7041854e-4853-44f9-9e63-23b7acad5461">Standard</Asset>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6A7A0EA5-5E52-41F9-911F-3F5DB8F4DE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C827D0-0D8E-431D-877D-548F3AE3A2B2}">
  <ds:schemaRefs>
    <ds:schemaRef ds:uri="Microsoft.SharePoint.Taxonomy.ContentTypeSync"/>
  </ds:schemaRefs>
</ds:datastoreItem>
</file>

<file path=customXml/itemProps3.xml><?xml version="1.0" encoding="utf-8"?>
<ds:datastoreItem xmlns:ds="http://schemas.openxmlformats.org/officeDocument/2006/customXml" ds:itemID="{27C7F2F1-BB11-41BB-BBEF-EAF07960D471}">
  <ds:schemaRefs>
    <ds:schemaRef ds:uri="http://schemas.microsoft.com/sharepoint/v3/contenttype/forms"/>
  </ds:schemaRefs>
</ds:datastoreItem>
</file>

<file path=customXml/itemProps4.xml><?xml version="1.0" encoding="utf-8"?>
<ds:datastoreItem xmlns:ds="http://schemas.openxmlformats.org/officeDocument/2006/customXml" ds:itemID="{408F1BA4-3EED-4E0B-9A33-94F8B428B767}">
  <ds:schemaRefs>
    <ds:schemaRef ds:uri="7041854e-4853-44f9-9e63-23b7acad54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Cover</vt:lpstr>
      <vt:lpstr>Map &amp; Key</vt:lpstr>
      <vt:lpstr>OUTPUT│Summary</vt:lpstr>
      <vt:lpstr>INPUTS│Wholesale Totex</vt:lpstr>
      <vt:lpstr>INPUTS│Residential Retail</vt:lpstr>
      <vt:lpstr>INPUTS│Outcomes</vt:lpstr>
      <vt:lpstr>INPUTS│Performance Commitments</vt:lpstr>
      <vt:lpstr>CALCS│Wholesale Totex</vt:lpstr>
      <vt:lpstr>CALCS│Residential Retail</vt:lpstr>
      <vt:lpstr>CALCS│Outcomes</vt:lpstr>
      <vt:lpstr>CALCS│Performance Commitments</vt:lpstr>
      <vt:lpstr>CALCS│Summary</vt:lpstr>
      <vt:lpstr>OUTPUT│Totex</vt:lpstr>
      <vt:lpstr>OUTPUT│Performance Commitments</vt:lpstr>
      <vt:lpstr>OUTPUT│Outcomes Trends</vt:lpstr>
      <vt:lpstr>OUTPUT│Environment</vt:lpstr>
      <vt:lpstr>Last_year</vt:lpstr>
      <vt:lpstr>Year</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Delivery Report Analysis Model - Working copy 2020.xlsx</dc:title>
  <dc:subject/>
  <dc:creator>Miles Evans</dc:creator>
  <cp:keywords/>
  <dc:description/>
  <cp:lastModifiedBy>Grace Garner</cp:lastModifiedBy>
  <cp:revision/>
  <dcterms:created xsi:type="dcterms:W3CDTF">2015-10-14T16:49:04Z</dcterms:created>
  <dcterms:modified xsi:type="dcterms:W3CDTF">2020-12-02T16:20:30Z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da4e9ae56afa494a84f353054bd212ec">
    <vt:lpwstr>OFFICIAL|c2540f30-f875-494b-a43f-ebfb5017a6ad</vt:lpwstr>
  </property>
  <property fmtid="{D5CDD505-2E9C-101B-9397-08002B2CF9AE}" pid="4" name="TaxCatchAll">
    <vt:lpwstr>21;#OFFICIAL|c2540f30-f875-494b-a43f-ebfb5017a6ad</vt:lpwstr>
  </property>
  <property fmtid="{D5CDD505-2E9C-101B-9397-08002B2CF9AE}" pid="5" name="Security Classification">
    <vt:lpwstr>21;#OFFICIAL|c2540f30-f875-494b-a43f-ebfb5017a6ad</vt:lpwstr>
  </property>
  <property fmtid="{D5CDD505-2E9C-101B-9397-08002B2CF9AE}" pid="6" name="Meeting">
    <vt:lpwstr/>
  </property>
  <property fmtid="{D5CDD505-2E9C-101B-9397-08002B2CF9AE}" pid="7" name="Hierarchy">
    <vt:lpwstr/>
  </property>
  <property fmtid="{D5CDD505-2E9C-101B-9397-08002B2CF9AE}" pid="8" name="Collection">
    <vt:lpwstr/>
  </property>
  <property fmtid="{D5CDD505-2E9C-101B-9397-08002B2CF9AE}" pid="9" name="Project Code">
    <vt:lpwstr>1896;#Company performance monitoring ＆ engagement|3cbb2248-aeb0-4f5e-8833-d72f52afb8f0</vt:lpwstr>
  </property>
  <property fmtid="{D5CDD505-2E9C-101B-9397-08002B2CF9AE}" pid="10" name="Stakeholder">
    <vt:lpwstr/>
  </property>
  <property fmtid="{D5CDD505-2E9C-101B-9397-08002B2CF9AE}" pid="11" name="Stakeholder_x0020_3">
    <vt:lpwstr/>
  </property>
  <property fmtid="{D5CDD505-2E9C-101B-9397-08002B2CF9AE}" pid="12" name="Stakeholder_x0020_4">
    <vt:lpwstr/>
  </property>
  <property fmtid="{D5CDD505-2E9C-101B-9397-08002B2CF9AE}" pid="13" name="Stakeholder_x0020_2">
    <vt:lpwstr/>
  </property>
  <property fmtid="{D5CDD505-2E9C-101B-9397-08002B2CF9AE}" pid="14" name="Stakeholder_x0020_5">
    <vt:lpwstr/>
  </property>
  <property fmtid="{D5CDD505-2E9C-101B-9397-08002B2CF9AE}" pid="15" name="Follow-up">
    <vt:bool>false</vt:bool>
  </property>
  <property fmtid="{D5CDD505-2E9C-101B-9397-08002B2CF9AE}" pid="16" name="Stakeholder 2">
    <vt:lpwstr/>
  </property>
  <property fmtid="{D5CDD505-2E9C-101B-9397-08002B2CF9AE}" pid="17" name="Stakeholder 5">
    <vt:lpwstr/>
  </property>
  <property fmtid="{D5CDD505-2E9C-101B-9397-08002B2CF9AE}" pid="18" name="Stakeholder 3">
    <vt:lpwstr/>
  </property>
  <property fmtid="{D5CDD505-2E9C-101B-9397-08002B2CF9AE}" pid="19" name="Stakeholder 4">
    <vt:lpwstr/>
  </property>
</Properties>
</file>