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8_{2F0786E4-4CF1-496D-A540-BCAA81778999}" xr6:coauthVersionLast="46" xr6:coauthVersionMax="46" xr10:uidLastSave="{00000000-0000-0000-0000-000000000000}"/>
  <bookViews>
    <workbookView xWindow="-98" yWindow="-98" windowWidth="20715" windowHeight="13276" tabRatio="679" firstSheet="13" activeTab="16"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l="1"/>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1" i="25" l="1"/>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117" i="48" s="1"/>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<sst xmlns="http://schemas.openxmlformats.org/spreadsheetml/2006/main" count="2396" uniqueCount="789">
  <si>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</si>
  <si>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</si>
  <si>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</si>
  <si>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</si>
  <si>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</si>
  <si>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</si>
  <si>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</si>
  <si>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</si>
  <si>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</si>
  <si>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</si>
  <si>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</si>
  <si>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</si>
  <si>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</si>
  <si>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</si>
  <si>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</si>
  <si>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</si>
  <si>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</si>
  <si>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</si>
  <si>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</si>
  <si>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</si>
  <si>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</si>
  <si>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</si>
  <si>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</si>
  <si>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</si>
  <si>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</si>
  <si>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</si>
  <si>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</si>
  <si>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</si>
  <si>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</si>
  <si>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</si>
  <si>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</si>
  <si>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</si>
  <si>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</si>
  <si>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</si>
  <si>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</si>
  <si>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</si>
  <si>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</si>
  <si>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</si>
  <si>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</si>
  <si>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</si>
  <si>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</si>
  <si>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</si>
  <si>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</si>
  <si>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</si>
  <si>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</si>
  <si>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</si>
  <si>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</si>
  <si>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</si>
  <si>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</si>
  <si>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</si>
  <si>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</si>
  <si>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</si>
  <si>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</si>
  <si>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</si>
  <si>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</si>
  <si>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</si>
  <si>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</si>
  <si>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</si>
  <si>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</si>
  <si>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</si>
  <si>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</si>
  <si>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</si>
  <si>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</si>
  <si>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</si>
  <si>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</si>
  <si>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</si>
  <si>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</si>
  <si>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</si>
  <si>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</si>
  <si>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</si>
  <si>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</si>
  <si>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</si>
  <si>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</si>
  <si>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</si>
  <si>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</si>
  <si>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</si>
  <si>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</si>
  <si>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</si>
  <si>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</si>
  <si>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</si>
  <si>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</si>
  <si>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</si>
  <si>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</si>
  <si>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</si>
  <si>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</si>
  <si>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</si>
  <si>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</si>
  <si>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</si>
  <si>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</si>
  <si>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</si>
  <si>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</si>
  <si>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</si>
  <si>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</si>
  <si>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</si>
  <si>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</si>
  <si>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</si>
  <si>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</si>
  <si>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</si>
  <si>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</si>
  <si>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</si>
  <si>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</si>
  <si>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</si>
  <si>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</si>
  <si>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</si>
  <si>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</si>
  <si>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</si>
  <si>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</si>
  <si>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</si>
  <si>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</si>
  <si>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</si>
  <si>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</si>
  <si>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</si>
  <si>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</si>
  <si>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</si>
  <si>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</si>
  <si>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</si>
  <si>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</si>
  <si>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</si>
  <si>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</si>
  <si>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</si>
  <si>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</si>
  <si>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</si>
  <si>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</si>
  <si>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</si>
  <si>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</si>
  <si>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</si>
  <si>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</si>
  <si>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</si>
  <si>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</si>
  <si>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</si>
  <si>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</si>
  <si>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</si>
  <si>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</si>
  <si>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</si>
  <si>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</si>
  <si>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</si>
  <si>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</si>
  <si>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</si>
  <si>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</si>
  <si>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</si>
  <si>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</si>
  <si>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</si>
  <si>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</si>
  <si>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</si>
  <si>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</si>
  <si>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</si>
  <si>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</si>
  <si>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</si>
  <si>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</si>
  <si>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</si>
  <si>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</si>
  <si>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</si>
  <si>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</si>
  <si>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</si>
  <si>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</si>
  <si>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</si>
  <si>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</si>
  <si>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</si>
  <si>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</si>
  <si>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</si>
  <si>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</si>
  <si>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</si>
  <si>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</si>
  <si>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</si>
  <si>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</si>
  <si>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</si>
  <si>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</si>
  <si>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</si>
  <si>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</si>
  <si>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</si>
  <si>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</si>
  <si>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</si>
  <si>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</si>
  <si>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</si>
  <si>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</si>
  <si>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</si>
  <si>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</si>
  <si>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</si>
  <si>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</si>
  <si>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</si>
  <si>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</si>
  <si>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</si>
  <si>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</si>
  <si>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</si>
  <si>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</si>
  <si>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</si>
  <si>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</si>
  <si>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</si>
  <si>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</si>
  <si>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</si>
  <si>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</si>
  <si>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</si>
  <si>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</si>
  <si>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</si>
  <si>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</si>
  <si>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</si>
  <si>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</si>
  <si>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</si>
  <si>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</si>
  <si>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</si>
  <si>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</si>
  <si>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</si>
  <si>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</si>
  <si>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</si>
  <si>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</si>
  <si>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</si>
  <si>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</si>
  <si>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</si>
  <si>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</si>
  <si>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</si>
  <si>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</si>
  <si>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</si>
  <si>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</si>
  <si>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</si>
  <si>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</si>
  <si>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</si>
  <si>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</si>
  <si>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</si>
  <si>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</si>
  <si>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</si>
  <si>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</si>
  <si>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</si>
  <si>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</si>
  <si>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</si>
  <si>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</si>
  <si>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</si>
  <si>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</si>
  <si>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</si>
  <si>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</si>
  <si>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</si>
  <si>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</si>
  <si>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</si>
  <si>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</si>
  <si>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</si>
  <si>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</si>
  <si>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</si>
  <si>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</si>
  <si>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</si>
  <si>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</si>
  <si>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</si>
  <si>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</si>
  <si>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</si>
  <si>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</si>
  <si>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</si>
  <si>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</si>
  <si>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</si>
  <si>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</si>
  <si>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</si>
  <si>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</si>
  <si>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</si>
  <si>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</si>
  <si>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</si>
  <si>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</si>
  <si>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</si>
  <si>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</si>
  <si>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</si>
  <si>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</si>
  <si>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</si>
  <si>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</si>
  <si>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</si>
  <si>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</si>
  <si>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</si>
  <si>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</si>
  <si>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</si>
  <si>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</si>
  <si>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</si>
  <si>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</si>
  <si>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</si>
  <si>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</si>
  <si>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</si>
  <si>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</si>
  <si>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</si>
  <si>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</si>
  <si>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</si>
  <si>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</si>
  <si>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</si>
  <si>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</si>
  <si>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</si>
  <si>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</si>
  <si>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</si>
  <si>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</si>
  <si>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</si>
  <si>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</si>
  <si>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</si>
  <si>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</si>
  <si>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</si>
  <si>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</si>
  <si>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</si>
  <si>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</si>
  <si>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</si>
  <si>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</si>
  <si>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</si>
  <si>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</si>
  <si>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</si>
  <si>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</si>
  <si>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</si>
  <si>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</si>
  <si>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</si>
  <si>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</si>
  <si>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</si>
  <si>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</si>
  <si>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</si>
  <si>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</si>
  <si>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</si>
  <si>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</si>
  <si>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</si>
  <si>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</si>
  <si>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</si>
  <si>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</si>
  <si>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</si>
  <si>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</si>
  <si>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</si>
  <si>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</si>
  <si>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</si>
  <si>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</si>
  <si>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</si>
  <si>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</si>
  <si>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</si>
  <si>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</si>
  <si>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</si>
  <si>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</si>
  <si>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</si>
  <si>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</si>
  <si>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</si>
  <si>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</si>
  <si>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</si>
  <si>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</si>
  <si>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</si>
  <si>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</si>
  <si>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</si>
  <si>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</si>
  <si>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</si>
  <si>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</si>
  <si>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</si>
  <si>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</si>
  <si>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</si>
  <si>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</si>
  <si>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</si>
  <si>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</si>
  <si>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</si>
  <si>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</si>
  <si>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</si>
  <si>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</si>
  <si>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</si>
  <si>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</si>
  <si>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</si>
  <si>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</si>
  <si>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</si>
  <si>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</si>
  <si>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</si>
  <si>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</si>
  <si>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</si>
  <si>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</si>
  <si>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</si>
  <si>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</si>
  <si>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</si>
  <si>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</si>
  <si>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</si>
  <si>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</si>
  <si>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</si>
  <si>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</si>
  <si>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</si>
  <si>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</si>
  <si>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</si>
  <si>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</si>
  <si>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</si>
  <si>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</si>
  <si>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</si>
  <si>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</si>
  <si>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</si>
  <si>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</si>
  <si>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</si>
  <si>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</si>
  <si>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</si>
  <si>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</si>
  <si>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</si>
  <si>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</si>
  <si>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</si>
  <si>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</si>
  <si>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</si>
  <si>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</si>
  <si>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</si>
  <si>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</si>
  <si>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</si>
  <si>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</si>
  <si>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</si>
  <si>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</si>
  <si>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</si>
  <si>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</si>
  <si>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</si>
  <si>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</si>
  <si>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</si>
  <si>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</si>
  <si>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</si>
  <si>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</si>
  <si>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</si>
  <si>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</si>
  <si>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</si>
  <si>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</si>
  <si>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</si>
  <si>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</si>
  <si>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</si>
  <si>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</si>
  <si>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</si>
  <si>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</si>
  <si>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</si>
  <si>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</si>
  <si>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</si>
  <si>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</si>
  <si>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</si>
  <si>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</si>
  <si>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</si>
  <si>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</si>
  <si>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</si>
  <si>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</si>
  <si>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</si>
  <si>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</si>
  <si>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</si>
  <si>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</si>
  <si>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</si>
  <si>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</si>
  <si>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</si>
  <si>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</si>
  <si>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</si>
  <si>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</si>
  <si>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</si>
  <si>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</si>
  <si>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</si>
  <si>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</si>
  <si>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</si>
  <si>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</si>
  <si>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</si>
  <si>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</si>
  <si>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</si>
  <si>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</si>
  <si>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</si>
  <si>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</si>
  <si>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</si>
  <si>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</si>
  <si>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</si>
  <si>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</si>
  <si>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</si>
  <si>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</si>
  <si>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</si>
  <si>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</si>
  <si>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</si>
  <si>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</si>
  <si>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</si>
  <si>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</si>
  <si>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</si>
  <si>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</si>
  <si>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</si>
  <si>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</si>
  <si>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</si>
  <si>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</si>
  <si>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</si>
  <si>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</si>
  <si>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</si>
  <si>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</si>
  <si>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</si>
  <si>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</si>
  <si>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</si>
  <si>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</si>
  <si>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</si>
  <si>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</si>
  <si>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</si>
  <si>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</si>
  <si>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</si>
  <si>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</si>
  <si>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</si>
  <si>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</si>
  <si>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</si>
  <si>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</si>
  <si>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</si>
  <si>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</si>
  <si>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</si>
  <si>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</si>
  <si>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</si>
  <si>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</si>
  <si>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</si>
  <si>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</si>
  <si>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</si>
  <si>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</si>
  <si>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</si>
  <si>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</si>
  <si>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</si>
  <si>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</si>
  <si>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</si>
  <si>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</si>
  <si>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</si>
  <si>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</si>
  <si>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</si>
  <si>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</si>
  <si>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</si>
  <si>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</si>
  <si>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</si>
  <si>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</si>
  <si>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</si>
  <si>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</si>
  <si>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</si>
  <si>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</si>
  <si>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</si>
  <si>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</si>
  <si>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</si>
  <si>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</si>
  <si>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</si>
  <si>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</si>
  <si>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</si>
  <si>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</si>
  <si>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</si>
  <si>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</si>
  <si>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</si>
  <si>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</si>
  <si>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</si>
  <si>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</si>
  <si>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</si>
  <si>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</si>
  <si>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</si>
  <si>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</si>
  <si>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</si>
  <si>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</si>
  <si>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</si>
  <si>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</si>
  <si>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</si>
  <si>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</si>
  <si>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</si>
  <si>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</si>
  <si>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</si>
  <si>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</si>
  <si>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</si>
  <si>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</si>
  <si>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</si>
  <si>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</si>
  <si>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</si>
  <si>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</si>
  <si>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</si>
  <si>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</si>
  <si>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</si>
  <si>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</si>
  <si>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</si>
  <si>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</si>
  <si>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</si>
  <si>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</si>
  <si>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</si>
  <si>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</si>
  <si>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</si>
  <si>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</si>
  <si>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</si>
  <si>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</si>
  <si>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</si>
  <si>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</si>
  <si>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</si>
  <si>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</si>
  <si>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</si>
  <si>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</si>
  <si>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</si>
  <si>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</si>
  <si>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</si>
  <si>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</si>
  <si>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</si>
  <si>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</si>
  <si>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</si>
  <si>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</si>
  <si>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</si>
  <si>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</si>
  <si>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</si>
  <si>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</si>
  <si>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</si>
  <si>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</si>
  <si>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</si>
  <si>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</si>
  <si>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</si>
  <si>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</si>
  <si>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</si>
  <si>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</si>
  <si>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</si>
  <si>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</si>
  <si>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</si>
  <si>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</si>
  <si>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</si>
  <si>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</si>
  <si>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</si>
  <si>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</si>
  <si>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</si>
  <si>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</si>
  <si>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</si>
  <si>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</si>
  <si>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</si>
  <si>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</si>
  <si>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</si>
  <si>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</si>
  <si>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</si>
  <si>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</si>
  <si>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</si>
  <si>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</si>
  <si>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</si>
  <si>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</si>
  <si>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</si>
  <si>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</si>
  <si>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</si>
  <si>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</si>
  <si>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</si>
  <si>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</si>
  <si>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</si>
  <si>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</si>
  <si>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</si>
  <si>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</si>
  <si>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</si>
  <si>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</si>
  <si>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</si>
  <si>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</si>
  <si>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</si>
  <si>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</si>
  <si>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</si>
  <si>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</si>
  <si>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</si>
  <si>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</si>
  <si>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</si>
  <si>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</si>
  <si>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</si>
  <si>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</si>
  <si>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</si>
  <si>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</si>
  <si>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</si>
  <si>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</si>
  <si>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</si>
  <si>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</si>
  <si>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</si>
  <si>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</si>
  <si>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</si>
  <si>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</si>
  <si>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</si>
  <si>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</si>
  <si>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</si>
  <si>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</si>
  <si>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</si>
  <si>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</si>
  <si>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</si>
  <si>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</si>
  <si>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</si>
  <si>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</si>
  <si>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</si>
  <si>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</si>
  <si>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</si>
  <si>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</si>
  <si>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</si>
  <si>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</si>
  <si>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</si>
  <si>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</si>
  <si>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</si>
  <si>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</si>
  <si>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</si>
  <si>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</si>
  <si>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</si>
  <si>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</si>
  <si>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</si>
  <si>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</si>
  <si>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</si>
  <si>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</si>
  <si>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</si>
  <si>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</si>
  <si>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</si>
  <si>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</si>
  <si>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</si>
  <si>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</si>
  <si>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</si>
  <si>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</si>
  <si>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</si>
  <si>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</si>
  <si>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</si>
  <si>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</si>
  <si>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</si>
  <si>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</si>
  <si>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</si>
  <si>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</si>
  <si>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</si>
  <si>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</si>
  <si>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</si>
  <si>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</si>
  <si>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</si>
  <si>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</si>
  <si>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</si>
  <si>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</si>
  <si>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</si>
  <si>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</si>
  <si>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</si>
  <si>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</si>
  <si>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</si>
  <si>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</si>
  <si>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</si>
  <si>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</si>
  <si>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</si>
  <si>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</si>
  <si>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</si>
  <si>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</si>
  <si>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</si>
  <si>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</si>
  <si>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</si>
  <si>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</si>
  <si>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</si>
  <si>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</si>
  <si>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</si>
  <si>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</si>
  <si>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</si>
  <si>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</si>
  <si>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</si>
  <si>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</si>
  <si>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</si>
  <si>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</si>
  <si>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</si>
  <si>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</si>
  <si>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</si>
  <si>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</si>
  <si>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</si>
  <si>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</si>
  <si>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</si>
  <si>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</si>
  <si>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</si>
  <si>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</si>
  <si>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</si>
  <si>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</si>
  <si>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</si>
  <si>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</si>
  <si>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</si>
  <si>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</si>
  <si>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</si>
  <si>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</si>
  <si>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</si>
  <si>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</si>
  <si>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</si>
  <si>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</si>
  <si>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</si>
  <si>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</si>
  <si>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</si>
  <si>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</si>
  <si>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</si>
  <si>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</si>
  <si>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</si>
  <si>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</si>
  <si>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</si>
  <si>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</si>
  <si>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</si>
  <si>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</si>
  <si>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</si>
  <si>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</si>
  <si>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</si>
  <si>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</si>
  <si>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</si>
  <si>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</si>
  <si>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</si>
  <si>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</si>
  <si>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</si>
  <si>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</si>
  <si>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</si>
  <si>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</si>
  <si>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</si>
  <si>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</si>
  <si>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</si>
  <si>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</si>
  <si>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</si>
  <si>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</si>
  <si>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</si>
  <si>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</si>
  <si>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</si>
  <si>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</si>
  <si>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</si>
  <si>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</si>
  <si>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</si>
  <si>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</si>
  <si>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</si>
  <si>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</si>
  <si>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</si>
  <si>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</si>
  <si>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</si>
  <si>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</si>
  <si>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</si>
  <si>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</si>
  <si>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</si>
  <si>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</si>
  <si>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</si>
  <si>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</si>
  <si>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</si>
  <si>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</si>
  <si>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</si>
  <si>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NWT</t>
  </si>
  <si>
    <t>PR19 in period determinations</t>
  </si>
  <si>
    <t>IPDRun2: FD 2021</t>
  </si>
  <si>
    <t>Latest</t>
  </si>
  <si>
    <t>IPD04_2021FD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</si>
</sst>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3" fontId="0" fillId="0" borderId="0" xfId="0" applyNumberFormat="1" applyFill="1">
      <alignment vertical="top"/>
    </xf>
    <xf numFmtId="185" fontId="0" fillId="0" borderId="0" xfId="0" applyNumberFormat="1" applyFill="1">
      <alignment vertical="top"/>
    </xf>
    <xf numFmtId="180" fontId="1" fillId="60"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zoomScaleNormal="100" zoomScaleSheetLayoutView="100" workbookViewId="0"/>
  </sheetViews>
  <sheetFormatPr defaultColWidth="9.125" defaultRowHeight="12.75" zeroHeight="1" x14ac:dyDescent="0.35"/>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35">
      <c r="A1" s="260" t="str">
        <f ca="1" xml:space="preserve"> RIGHT(CELL("filename", $A$1), LEN(CELL("filename", $A$1)) - SEARCH("]", CELL("filename", $A$1)))</f>
        <v>Cover</v>
      </c>
    </row>
    <row r="2" spans="1:2" s="261" customFormat="1" ht="18" customHeight="1" x14ac:dyDescent="0.35">
      <c r="A2" s="261" t="s">
        <v>0</v>
      </c>
      <c r="B2" s="261" t="s">
        <v>1</v>
      </c>
    </row>
    <row r="3" spans="1:2" s="261" customFormat="1" ht="18" customHeight="1" x14ac:dyDescent="0.35">
      <c r="A3" s="261" t="s">
        <v>2</v>
      </c>
      <c r="B3" s="261" t="s">
        <v>672</v>
      </c>
    </row>
    <row r="4" spans="1:2" s="261" customFormat="1" ht="18" customHeight="1" x14ac:dyDescent="0.35">
      <c r="A4" s="261" t="s">
        <v>4</v>
      </c>
      <c r="B4" s="261" t="s">
        <v>420</v>
      </c>
    </row>
    <row r="5" spans="1:2" s="261" customFormat="1" ht="18" customHeight="1" x14ac:dyDescent="0.35">
      <c r="A5" s="261" t="s">
        <v>5</v>
      </c>
      <c r="B5" s="306">
        <v>44426</v>
      </c>
    </row>
    <row r="6" spans="1:2" s="261" customFormat="1" ht="18" customHeight="1" x14ac:dyDescent="0.35">
      <c r="A6" s="261" t="s">
        <v>6</v>
      </c>
      <c r="B6" s="261" t="s">
        <v>7</v>
      </c>
    </row>
    <row r="7" spans="1:2" s="261" customFormat="1" ht="18" customHeight="1" x14ac:dyDescent="0.4">
      <c r="A7" s="307" t="s">
        <v>8</v>
      </c>
      <c r="B7" s="307" t="s">
        <v>9</v>
      </c>
    </row>
    <row r="8" spans="1:2" ht="9" customHeight="1" x14ac:dyDescent="0.35"/>
    <row r="9" spans="1:2" ht="54.6" customHeight="1" x14ac:dyDescent="0.35">
      <c r="A9" s="262" t="s">
        <v>10</v>
      </c>
      <c r="B9" s="308" t="s">
        <v>11</v>
      </c>
    </row>
    <row r="10" spans="1:2" ht="6" customHeight="1" x14ac:dyDescent="0.35">
      <c r="A10" s="264"/>
      <c r="B10" s="264"/>
    </row>
    <row r="11" spans="1:2" ht="153" x14ac:dyDescent="0.35">
      <c r="A11" s="262" t="s">
        <v>12</v>
      </c>
      <c r="B11" s="308" t="s">
        <v>13</v>
      </c>
    </row>
    <row r="12" spans="1:2" ht="6" customHeight="1" x14ac:dyDescent="0.35">
      <c r="A12" s="264"/>
      <c r="B12" s="264"/>
    </row>
    <row r="13" spans="1:2" ht="14.65" x14ac:dyDescent="0.35">
      <c r="A13" s="263" t="s">
        <v>14</v>
      </c>
      <c r="B13" s="265" t="s">
        <v>15</v>
      </c>
    </row>
    <row r="14" spans="1:2" ht="6" customHeight="1" x14ac:dyDescent="0.35">
      <c r="A14" s="264"/>
      <c r="B14" s="264"/>
    </row>
    <row r="15" spans="1:2" ht="14.65" x14ac:dyDescent="0.35">
      <c r="A15" s="263" t="s">
        <v>16</v>
      </c>
      <c r="B15" s="309" t="s">
        <v>17</v>
      </c>
    </row>
    <row r="16" spans="1:2" ht="6" customHeight="1" x14ac:dyDescent="0.35">
      <c r="A16" s="264"/>
      <c r="B16" s="264"/>
    </row>
    <row r="17" spans="1:7" ht="14.65" x14ac:dyDescent="0.35">
      <c r="A17" s="263" t="s">
        <v>18</v>
      </c>
      <c r="B17" s="265" t="s">
        <v>15</v>
      </c>
    </row>
    <row r="18" spans="1:7" ht="6" customHeight="1" x14ac:dyDescent="0.35">
      <c r="A18" s="264"/>
      <c r="B18" s="264"/>
    </row>
    <row r="19" spans="1:7" ht="13.15" x14ac:dyDescent="0.35">
      <c r="A19" s="285" t="s">
        <v>19</v>
      </c>
      <c r="B19" s="240"/>
    </row>
    <row r="20" spans="1:7" ht="6" customHeight="1" x14ac:dyDescent="0.35">
      <c r="A20" s="264"/>
      <c r="B20" s="264"/>
    </row>
    <row r="21" spans="1:7" s="240" customFormat="1" ht="18" customHeight="1" x14ac:dyDescent="0.35">
      <c r="A21" s="266" t="s">
        <v>20</v>
      </c>
      <c r="B21" s="266" t="s">
        <v>21</v>
      </c>
      <c r="C21" s="266" t="s">
        <v>22</v>
      </c>
      <c r="D21" s="266" t="s">
        <v>23</v>
      </c>
      <c r="E21" s="242"/>
      <c r="F21" s="242"/>
    </row>
    <row r="22" spans="1:7" ht="18.600000000000001" customHeight="1" x14ac:dyDescent="0.35">
      <c r="A22" s="267" t="s">
        <v>24</v>
      </c>
      <c r="B22" s="267" t="s">
        <v>25</v>
      </c>
      <c r="C22" s="268" t="s">
        <v>26</v>
      </c>
      <c r="D22" s="267" t="s">
        <v>27</v>
      </c>
      <c r="E22" s="241"/>
      <c r="F22" s="241"/>
    </row>
    <row r="23" spans="1:7" ht="45" customHeight="1" x14ac:dyDescent="0.35">
      <c r="A23" s="267" t="s">
        <v>28</v>
      </c>
      <c r="B23" s="267" t="s">
        <v>29</v>
      </c>
      <c r="C23" s="267" t="s">
        <v>30</v>
      </c>
      <c r="D23" s="267" t="s">
        <v>27</v>
      </c>
      <c r="E23" s="241"/>
      <c r="F23" s="241"/>
    </row>
    <row r="24" spans="1:7" ht="60" customHeight="1" x14ac:dyDescent="0.35">
      <c r="A24" s="267" t="s">
        <v>24</v>
      </c>
      <c r="B24" s="267" t="s">
        <v>31</v>
      </c>
      <c r="C24" s="267" t="s">
        <v>32</v>
      </c>
      <c r="D24" s="267" t="s">
        <v>27</v>
      </c>
      <c r="E24" s="241"/>
      <c r="F24" s="241"/>
    </row>
    <row r="25" spans="1:7" ht="70.349999999999994" customHeight="1" x14ac:dyDescent="0.35">
      <c r="A25" s="275" t="s">
        <v>33</v>
      </c>
      <c r="B25" s="275" t="s">
        <v>34</v>
      </c>
      <c r="C25" s="275" t="s">
        <v>35</v>
      </c>
      <c r="D25" s="275" t="s">
        <v>36</v>
      </c>
      <c r="E25" s="241"/>
      <c r="F25" s="241"/>
    </row>
    <row r="26" spans="1:7" ht="87.6" customHeight="1" x14ac:dyDescent="0.35">
      <c r="A26" s="275" t="s">
        <v>24</v>
      </c>
      <c r="B26" s="275" t="s">
        <v>37</v>
      </c>
      <c r="C26" s="275" t="s">
        <v>38</v>
      </c>
      <c r="D26" s="275" t="s">
        <v>36</v>
      </c>
      <c r="E26" s="241"/>
      <c r="F26" s="241"/>
    </row>
    <row r="27" spans="1:7" ht="60" customHeight="1" x14ac:dyDescent="0.35">
      <c r="A27" s="275" t="s">
        <v>24</v>
      </c>
      <c r="B27" s="275" t="s">
        <v>39</v>
      </c>
      <c r="C27" s="275" t="s">
        <v>40</v>
      </c>
      <c r="D27" s="275" t="s">
        <v>36</v>
      </c>
      <c r="E27" s="241"/>
      <c r="F27" s="241"/>
    </row>
    <row r="28" spans="1:7" ht="163.15" customHeight="1" x14ac:dyDescent="0.35">
      <c r="A28" s="275" t="s">
        <v>28</v>
      </c>
      <c r="B28" s="275" t="s">
        <v>41</v>
      </c>
      <c r="C28" s="275" t="s">
        <v>42</v>
      </c>
      <c r="D28" s="275" t="s">
        <v>3</v>
      </c>
      <c r="E28" s="241"/>
      <c r="F28" s="241"/>
    </row>
    <row r="29" spans="1:7" s="366" customFormat="1" ht="127.5" x14ac:dyDescent="0.35">
      <c r="A29" s="275" t="s">
        <v>24</v>
      </c>
      <c r="B29" s="275" t="s">
        <v>419</v>
      </c>
      <c r="C29" s="275" t="s">
        <v>415</v>
      </c>
      <c r="D29" s="275" t="s">
        <v>416</v>
      </c>
      <c r="E29" s="365"/>
      <c r="F29" s="365"/>
    </row>
    <row r="30" spans="1:7" s="366" customFormat="1" ht="51" x14ac:dyDescent="0.35">
      <c r="A30" s="275" t="s">
        <v>28</v>
      </c>
      <c r="B30" s="275" t="s">
        <v>625</v>
      </c>
      <c r="C30" s="275" t="s">
        <v>626</v>
      </c>
      <c r="D30" s="275" t="s">
        <v>672</v>
      </c>
      <c r="E30" s="365"/>
      <c r="F30" s="365"/>
    </row>
    <row r="31" spans="1:7" s="366" customFormat="1" ht="60.75" customHeight="1" x14ac:dyDescent="0.35">
      <c r="A31" s="275" t="s">
        <v>24</v>
      </c>
      <c r="B31" s="275" t="s">
        <v>696</v>
      </c>
      <c r="C31" s="275" t="s">
        <v>671</v>
      </c>
      <c r="D31" s="275" t="s">
        <v>672</v>
      </c>
      <c r="E31" s="365"/>
      <c r="F31" s="365"/>
    </row>
    <row r="32" spans="1:7" s="366" customFormat="1" ht="51" x14ac:dyDescent="0.35">
      <c r="A32" s="275" t="s">
        <v>24</v>
      </c>
      <c r="B32" s="275" t="s">
        <v>683</v>
      </c>
      <c r="C32" s="275" t="s">
        <v>682</v>
      </c>
      <c r="D32" s="275" t="s">
        <v>672</v>
      </c>
      <c r="E32" s="365"/>
      <c r="F32" s="365"/>
      <c r="G32" s="365"/>
    </row>
    <row r="33" spans="1:6" ht="9" customHeight="1" x14ac:dyDescent="0.35">
      <c r="A33" s="274"/>
      <c r="B33" s="274"/>
      <c r="C33" s="274"/>
      <c r="D33" s="274"/>
      <c r="E33" s="241"/>
      <c r="F33" s="241"/>
    </row>
    <row r="34" spans="1:6" ht="9" customHeight="1" x14ac:dyDescent="0.35">
      <c r="A34" s="241"/>
      <c r="B34" s="241"/>
      <c r="C34" s="241"/>
      <c r="D34" s="241"/>
      <c r="E34" s="241"/>
      <c r="F34" s="241"/>
    </row>
    <row r="35" spans="1:6" s="223" customFormat="1" ht="13.5" x14ac:dyDescent="0.45">
      <c r="A35" s="223" t="s">
        <v>43</v>
      </c>
    </row>
    <row r="36" spans="1:6" x14ac:dyDescent="0.35"/>
    <row r="37" spans="1:6" x14ac:dyDescent="0.35"/>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InpActive</v>
      </c>
      <c r="B1" s="160"/>
      <c r="C1" s="160"/>
      <c r="D1" s="160"/>
      <c r="E1" s="160"/>
      <c r="F1" s="160"/>
      <c r="G1" s="160"/>
      <c r="H1" s="445" t="str">
        <f>InpActive!F9</f>
        <v>Thames Water</v>
      </c>
      <c r="I1" s="119"/>
      <c r="J1" s="119"/>
      <c r="K1" s="119"/>
      <c r="L1" s="119"/>
      <c r="M1" s="119"/>
      <c r="N1" s="119"/>
      <c r="O1" s="119"/>
      <c r="P1" s="119"/>
      <c r="Q1" s="119"/>
      <c r="R1" s="119"/>
      <c r="S1" s="119"/>
      <c r="T1" s="119"/>
    </row>
    <row r="2" spans="1:20" s="2" customFormat="1" ht="14.45" customHeigh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91" t="str">
        <f>IF(InpOfwat!F9&lt;&gt;"",InpOfwat!F9,InpCompany!F9)</f>
        <v>Thames Water</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15" t="str">
        <f>IF(InpOfwat!F10&lt;&gt;"",InpOfwat!F10,InpCompany!F10)</f>
        <v>TMS</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296" t="str">
        <f>IF(InpOfwat!F12&lt;&gt;"",InpOfwat!F12,InpCompany!F12)</f>
        <v>2020-21</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5" t="str">
        <f>IF(InpOfwat!F14&lt;&gt;"",InpOfwat!F14,InpCompany!F14)</f>
        <v>2017-18</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305" t="str">
        <f>IF(InpOfwat!F15&lt;&gt;"",InpOfwat!F15,InpCompany!F15)</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226</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227</v>
      </c>
      <c r="F21" s="412">
        <f>IF(InpOfwat!F21&lt;&gt;"",InpOfwat!F21,InpCompany!F21)</f>
        <v>-1.7776799999999999E-2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228</v>
      </c>
      <c r="F22" s="296">
        <f>IF(InpOfwat!F22&lt;&gt;"",InpOfwat!F22,InpCompany!F22)</f>
        <v>-9.1004800728694004</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229</v>
      </c>
      <c r="F23" s="296">
        <f>IF(InpOfwat!F23&lt;&gt;"",InpOfwat!F23,InpCompany!F23)</f>
        <v>-18.354731000000001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230</v>
      </c>
      <c r="F24" s="296">
        <f>IF(InpOfwat!F24&lt;&gt;"",InpOfwat!F24,InpCompany!F24)</f>
        <v>-1.2331799999999999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231</v>
      </c>
      <c r="F25" s="296">
        <f>IF(InpOfwat!F25&lt;&gt;"",InpOfwat!F25,InpCompany!F25)</f>
        <v>-0.51939999999999997</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232</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233</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296">
        <f>IF(InpOfwat!F30&lt;&gt;"",InpOfwat!F30,InpCompany!F30)</f>
        <v>-16.753440000000001</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296">
        <f>IF(InpOfwat!F31&lt;&gt;"",InpOfwat!F31,InpCompany!F31)</f>
        <v>-1.2266323943802</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296">
        <f>IF(InpOfwat!F32&lt;&gt;"",InpOfwat!F32,InpCompany!F32)</f>
        <v>-0.63421432112364295</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234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296">
        <f>IF(InpOfwat!F68&lt;&gt;"",InpOfwat!F68,InpCompany!F68)</f>
        <v>-5.3650000000000002</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296">
        <f>IF(InpOfwat!F71&lt;&gt;"",InpOfwat!F71,InpCompany!F71)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IF(InpOfwat!F79&lt;&gt;"",InpOfwat!F79,InpCompany!F79)</f>
        <v>2.91957638201563E-2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f>IF(InpOfwat!F80&lt;&gt;"",InpOfwat!F80,InpCompany!F80)</f>
        <v>2.9600000000000001E-2</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95">
        <f>IF(InpOfwat!F81&lt;&gt;"",InpOfwat!F81,InpCompany!F81)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112.6</v>
      </c>
      <c r="Q85" s="293">
        <f>IF(InpOfwat!Q85&lt;&gt;"",InpOfwat!Q85,InpCompany!Q85)</f>
        <v>0</v>
      </c>
      <c r="R85" s="293">
        <f>IF(InpOfwat!R85&lt;&gt;"",InpOfwat!R85,InpCompany!R85)</f>
        <v>0</v>
      </c>
      <c r="S85" s="293">
        <f>IF(InpOfwat!S85&lt;&gt;"",InpOfwat!S85,InpCompany!S85)</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f>IF(InpOfwat!F88&lt;&gt;"",InpOfwat!F88,InpCompany!F88)</f>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f>IF(InpOfwat!F89&lt;&gt;"",InpOfwat!F89,InpCompany!F89)</f>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f>IF(InpOfwat!F90&lt;&gt;"",InpOfwat!F90,InpCompany!F90)</f>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f>IF(InpOfwat!F91&lt;&gt;"",InpOfwat!F91,InpCompany!F91)</f>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f>IF(InpOfwat!F92&lt;&gt;"",InpOfwat!F92,InpCompany!F92)</f>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f>IF(InpOfwat!F93&lt;&gt;"",InpOfwat!F93,InpCompany!F93)</f>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f>IF(InpOfwat!F94&lt;&gt;"",InpOfwat!F94,InpCompany!F94)</f>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f>IF(InpOfwat!F95&lt;&gt;"",InpOfwat!F95,InpCompany!F95)</f>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f>IF(InpOfwat!F96&lt;&gt;"",InpOfwat!F96,InpCompany!F96)</f>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f>IF(InpOfwat!F97&lt;&gt;"",InpOfwat!F97,InpCompany!F97)</f>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f>IF(InpOfwat!F98&lt;&gt;"",InpOfwat!F98,InpCompany!F98)</f>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f>IF(InpOfwat!F99&lt;&gt;"",InpOfwat!F99,InpCompany!F99)</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98">
        <f>IF(InpOfwat!N105&lt;&gt;"",InpOfwat!N105,InpCompany!N105)</f>
        <v>89.768007721145906</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293">
        <f>IF(InpOfwat!O106&lt;&gt;"",InpOfwat!O106,InpCompany!O106)</f>
        <v>0</v>
      </c>
      <c r="P106" s="293">
        <f>IF(InpOfwat!P106&lt;&gt;"",InpOfwat!P106,InpCompany!P106)</f>
        <v>3.9</v>
      </c>
      <c r="Q106" s="293">
        <f>IF(InpOfwat!Q106&lt;&gt;"",InpOfwat!Q106,InpCompany!Q106)</f>
        <v>-1</v>
      </c>
      <c r="R106" s="293">
        <f>IF(InpOfwat!R106&lt;&gt;"",InpOfwat!R106,InpCompany!R106)</f>
        <v>0.67</v>
      </c>
      <c r="S106" s="293">
        <f>IF(InpOfwat!S106&lt;&gt;"",InpOfwat!S106,InpCompany!S106)</f>
        <v>3.51</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98">
        <f>IF(InpOfwat!N109&lt;&gt;"",InpOfwat!N109,InpCompany!N109)</f>
        <v>820.81826854005897</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293">
        <f>IF(InpOfwat!O110&lt;&gt;"",InpOfwat!O110,InpCompany!O110)</f>
        <v>0</v>
      </c>
      <c r="P110" s="293">
        <f>IF(InpOfwat!P110&lt;&gt;"",InpOfwat!P110,InpCompany!P110)</f>
        <v>7.44</v>
      </c>
      <c r="Q110" s="293">
        <f>IF(InpOfwat!Q110&lt;&gt;"",InpOfwat!Q110,InpCompany!Q110)</f>
        <v>0.04</v>
      </c>
      <c r="R110" s="293">
        <f>IF(InpOfwat!R110&lt;&gt;"",InpOfwat!R110,InpCompany!R110)</f>
        <v>1.3</v>
      </c>
      <c r="S110" s="293">
        <f>IF(InpOfwat!S110&lt;&gt;"",InpOfwat!S110,InpCompany!S110)</f>
        <v>0.22</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98">
        <f>IF(InpOfwat!N113&lt;&gt;"",InpOfwat!N113,InpCompany!N113)</f>
        <v>846.00854667717704</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293">
        <f>IF(InpOfwat!O114&lt;&gt;"",InpOfwat!O114,InpCompany!O114)</f>
        <v>0</v>
      </c>
      <c r="P114" s="293">
        <f>IF(InpOfwat!P114&lt;&gt;"",InpOfwat!P114,InpCompany!P114)</f>
        <v>-0.81</v>
      </c>
      <c r="Q114" s="293">
        <f>IF(InpOfwat!Q114&lt;&gt;"",InpOfwat!Q114,InpCompany!Q114)</f>
        <v>-1.59</v>
      </c>
      <c r="R114" s="293">
        <f>IF(InpOfwat!R114&lt;&gt;"",InpOfwat!R114,InpCompany!R114)</f>
        <v>-0.4</v>
      </c>
      <c r="S114" s="293">
        <f>IF(InpOfwat!S114&lt;&gt;"",InpOfwat!S114,InpCompany!S114)</f>
        <v>-0.16</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98">
        <f>IF(InpOfwat!P117&lt;&gt;"",InpOfwat!P117,InpCompany!P117)</f>
        <v>160.76704184397599</v>
      </c>
      <c r="Q117" s="298">
        <f>IF(InpOfwat!Q117&lt;&gt;"",InpOfwat!Q117,InpCompany!Q117)</f>
        <v>161.62094887885601</v>
      </c>
      <c r="R117" s="298">
        <f>IF(InpOfwat!R117&lt;&gt;"",InpOfwat!R117,InpCompany!R117)</f>
        <v>162.47886486695199</v>
      </c>
      <c r="S117" s="298">
        <f>IF(InpOfwat!S117&lt;&gt;"",InpOfwat!S117,InpCompany!S117)</f>
        <v>163.33277190183199</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298">
        <f>IF(InpOfwat!P120&lt;&gt;"",InpOfwat!P120,InpCompany!P120)</f>
        <v>143.17699999999999</v>
      </c>
      <c r="Q120" s="298">
        <f>IF(InpOfwat!Q120&lt;&gt;"",InpOfwat!Q120,InpCompany!Q120)</f>
        <v>146.137</v>
      </c>
      <c r="R120" s="298">
        <f>IF(InpOfwat!R120&lt;&gt;"",InpOfwat!R120,InpCompany!R120)</f>
        <v>148.46799999999999</v>
      </c>
      <c r="S120" s="298">
        <f>IF(InpOfwat!S120&lt;&gt;"",InpOfwat!S120,InpCompany!S120)</f>
        <v>150.721</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8">
        <f>IF(InpOfwat!Q130&lt;&gt;"",InpOfwat!Q130,InpCompany!Q130)</f>
        <v>0</v>
      </c>
      <c r="R130" s="428">
        <f>IF(InpOfwat!R130&lt;&gt;"",InpOfwat!R130,InpCompany!R130)</f>
        <v>0</v>
      </c>
      <c r="S130" s="428">
        <f>IF(InpOfwat!S130&lt;&gt;"",InpOfwat!S130,InpCompany!S130)</f>
        <v>0</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8">
        <f>IF(InpOfwat!Q131&lt;&gt;"",InpOfwat!Q131,InpCompany!Q131)</f>
        <v>0</v>
      </c>
      <c r="R131" s="428">
        <f>IF(InpOfwat!R131&lt;&gt;"",InpOfwat!R131,InpCompany!R131)</f>
        <v>0</v>
      </c>
      <c r="S131" s="428">
        <f>IF(InpOfwat!S131&lt;&gt;"",InpOfwat!S131,InpCompany!S131)</f>
        <v>0</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8">
        <f>IF(InpOfwat!Q132&lt;&gt;"",InpOfwat!Q132,InpCompany!Q132)</f>
        <v>0</v>
      </c>
      <c r="R132" s="428">
        <f>IF(InpOfwat!R132&lt;&gt;"",InpOfwat!R132,InpCompany!R132)</f>
        <v>0</v>
      </c>
      <c r="S132" s="428">
        <f>IF(InpOfwat!S132&lt;&gt;"",InpOfwat!S132,InpCompany!S132)</f>
        <v>0</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8">
        <f>IF(InpOfwat!Q133&lt;&gt;"",InpOfwat!Q133,InpCompany!Q133)</f>
        <v>0</v>
      </c>
      <c r="R133" s="428">
        <f>IF(InpOfwat!R133&lt;&gt;"",InpOfwat!R133,InpCompany!R133)</f>
        <v>0</v>
      </c>
      <c r="S133" s="428">
        <f>IF(InpOfwat!S133&lt;&gt;"",InpOfwat!S133,InpCompany!S133)</f>
        <v>0</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8">
        <f>IF(InpOfwat!Q134&lt;&gt;"",InpOfwat!Q134,InpCompany!Q134)</f>
        <v>0</v>
      </c>
      <c r="R134" s="428">
        <f>IF(InpOfwat!R134&lt;&gt;"",InpOfwat!R134,InpCompany!R134)</f>
        <v>0</v>
      </c>
      <c r="S134" s="428">
        <f>IF(InpOfwat!S134&lt;&gt;"",InpOfwat!S134,InpCompany!S134)</f>
        <v>0</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8">
        <f>IF(InpOfwat!Q135&lt;&gt;"",InpOfwat!Q135,InpCompany!Q135)</f>
        <v>0</v>
      </c>
      <c r="R135" s="428">
        <f>IF(InpOfwat!R135&lt;&gt;"",InpOfwat!R135,InpCompany!R135)</f>
        <v>0</v>
      </c>
      <c r="S135" s="428">
        <f>IF(InpOfwat!S135&lt;&gt;"",InpOfwat!S135,InpCompany!S135)</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35">
      <c r="D138" s="203"/>
      <c r="E138" s="92" t="s">
        <v>202</v>
      </c>
      <c r="F138" s="204"/>
      <c r="G138" s="204" t="s">
        <v>160</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35">
      <c r="D139" s="203"/>
      <c r="E139" s="92" t="s">
        <v>203</v>
      </c>
      <c r="F139" s="204"/>
      <c r="G139" s="204" t="s">
        <v>160</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35">
      <c r="D140" s="203"/>
      <c r="E140" s="92" t="s">
        <v>204</v>
      </c>
      <c r="F140" s="204"/>
      <c r="G140" s="204" t="s">
        <v>160</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35">
      <c r="D141" s="203"/>
      <c r="E141" s="92" t="s">
        <v>205</v>
      </c>
      <c r="F141" s="204"/>
      <c r="G141" s="204" t="s">
        <v>160</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35">
      <c r="D142" s="203"/>
      <c r="E142" s="92" t="s">
        <v>624</v>
      </c>
      <c r="F142" s="204"/>
      <c r="G142" s="204" t="s">
        <v>160</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98">
        <f>IF(InpOfwat!N146&lt;&gt;"",InpOfwat!N146,InpCompany!N146)</f>
        <v>50.227723887126004</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293">
        <f>IF(InpOfwat!O147&lt;&gt;"",InpOfwat!O147,InpCompany!O147)</f>
        <v>0</v>
      </c>
      <c r="P147" s="293">
        <f>IF(InpOfwat!P147&lt;&gt;"",InpOfwat!P147,InpCompany!P147)</f>
        <v>4.6399999999999997</v>
      </c>
      <c r="Q147" s="293">
        <f>IF(InpOfwat!Q147&lt;&gt;"",InpOfwat!Q147,InpCompany!Q147)</f>
        <v>2.78</v>
      </c>
      <c r="R147" s="293">
        <f>IF(InpOfwat!R147&lt;&gt;"",InpOfwat!R147,InpCompany!R147)</f>
        <v>-11.51</v>
      </c>
      <c r="S147" s="293">
        <f>IF(InpOfwat!S147&lt;&gt;"",InpOfwat!S147,InpCompany!S147)</f>
        <v>-10.68</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f>IF(InpOfwat!F151&lt;&gt;"",InpOfwat!F151,InpCompany!F151)</f>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235</v>
      </c>
      <c r="F153" s="289">
        <f>IF(InpOfwat!F153&lt;&gt;"",InpOfwat!F153,InpCompany!F153)</f>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f>IF(InpOfwat!F155&lt;&gt;"",InpOfwat!F155,InpCompany!F155)</f>
        <v>43921</v>
      </c>
      <c r="G155" s="166" t="s">
        <v>209</v>
      </c>
      <c r="H155" s="193"/>
      <c r="I155" s="193"/>
      <c r="J155" s="193"/>
      <c r="K155" s="193"/>
      <c r="L155" s="193"/>
      <c r="M155" s="193"/>
      <c r="N155" s="193"/>
      <c r="O155" s="193"/>
      <c r="P155" s="193"/>
      <c r="Q155" s="193"/>
      <c r="R155" s="193"/>
      <c r="S155" s="193"/>
      <c r="T155" s="193"/>
    </row>
    <row r="156" spans="1:20" s="192" customFormat="1" x14ac:dyDescent="0.35">
      <c r="A156" s="193"/>
      <c r="B156" s="193"/>
      <c r="C156" s="193"/>
      <c r="D156" s="193"/>
      <c r="E156" s="166" t="s">
        <v>212</v>
      </c>
      <c r="F156" s="290">
        <f>IF(InpOfwat!F156&lt;&gt;"",InpOfwat!F156,InpCompany!F156)</f>
        <v>5</v>
      </c>
      <c r="G156" s="166"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f>IF(InpOfwat!F157&lt;&gt;"",InpOfwat!F157,InpCompany!F157)</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236</v>
      </c>
      <c r="F159" s="289">
        <f>IF(InpOfwat!F159&lt;&gt;"",InpOfwat!F159,InpCompany!F159)</f>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237</v>
      </c>
      <c r="F160" s="289">
        <f>IF(InpOfwat!F160&lt;&gt;"",InpOfwat!F160,InpCompany!F160)</f>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238</v>
      </c>
      <c r="F161" s="290">
        <f>IF(InpOfwat!F161&lt;&gt;"",InpOfwat!F161,InpCompany!F161)</f>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239</v>
      </c>
      <c r="F162" s="290">
        <f>IF(InpOfwat!F162&lt;&gt;"",InpOfwat!F162,InpCompany!F162)</f>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35">
      <c r="A1" s="160" t="str">
        <f ca="1" xml:space="preserve"> RIGHT(CELL("filename", $A$1), LEN(CELL("filename", $A$1)) - SEARCH("]", CELL("filename", $A$1)))</f>
        <v>Time</v>
      </c>
      <c r="B1" s="160"/>
      <c r="C1" s="160"/>
      <c r="D1" s="160"/>
      <c r="E1" s="160"/>
      <c r="F1" s="160"/>
      <c r="G1" s="160"/>
      <c r="H1" s="445" t="str">
        <f>InpActive!F9</f>
        <v>Thames Water</v>
      </c>
      <c r="I1" s="119"/>
      <c r="J1" s="119"/>
      <c r="K1" s="119"/>
      <c r="L1" s="119"/>
      <c r="M1" s="119"/>
      <c r="N1" s="119"/>
      <c r="O1" s="119"/>
      <c r="P1" s="119"/>
      <c r="Q1" s="119"/>
      <c r="R1" s="119"/>
      <c r="S1" s="119"/>
      <c r="T1" s="119"/>
    </row>
    <row r="2" spans="1:79" s="15" customFormat="1" x14ac:dyDescent="0.35">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35">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35">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35">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35">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45">
      <c r="A7" s="224" t="s">
        <v>240</v>
      </c>
    </row>
    <row r="8" spans="1:79" x14ac:dyDescent="0.35">
      <c r="A8" s="21"/>
      <c r="B8" s="22"/>
      <c r="D8" s="24"/>
    </row>
    <row r="9" spans="1:79" s="33" customFormat="1" x14ac:dyDescent="0.35">
      <c r="A9" s="16"/>
      <c r="B9" s="17" t="s">
        <v>241</v>
      </c>
      <c r="C9" s="18"/>
      <c r="D9" s="19"/>
      <c r="E9" s="32"/>
      <c r="G9" s="34"/>
    </row>
    <row r="10" spans="1:79" s="39" customFormat="1" x14ac:dyDescent="0.35">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35">
      <c r="A11" s="21"/>
      <c r="B11" s="22"/>
      <c r="D11" s="24"/>
      <c r="E11" s="8" t="s">
        <v>244</v>
      </c>
      <c r="F11" s="31">
        <f xml:space="preserve"> MAX(J10:CA10)</f>
        <v>11</v>
      </c>
      <c r="G11" s="31" t="s">
        <v>245</v>
      </c>
    </row>
    <row r="12" spans="1:79" x14ac:dyDescent="0.35">
      <c r="A12" s="21"/>
      <c r="B12" s="22"/>
      <c r="D12" s="24"/>
    </row>
    <row r="13" spans="1:79" s="44" customFormat="1" x14ac:dyDescent="0.35">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35">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35">
      <c r="A15" s="21"/>
      <c r="B15" s="22"/>
      <c r="D15" s="24"/>
    </row>
    <row r="16" spans="1:79" s="50" customFormat="1" x14ac:dyDescent="0.35">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35">
      <c r="A17" s="45"/>
      <c r="B17" s="46"/>
      <c r="C17" s="47"/>
      <c r="D17" s="48"/>
      <c r="E17" s="8" t="s">
        <v>248</v>
      </c>
      <c r="F17" s="51">
        <f xml:space="preserve"> DATE(YEAR(F16), MONTH(F16), 1)</f>
        <v>42095</v>
      </c>
      <c r="G17" s="51" t="s">
        <v>249</v>
      </c>
    </row>
    <row r="18" spans="1:79" s="50" customFormat="1" x14ac:dyDescent="0.35">
      <c r="A18" s="45"/>
      <c r="B18" s="46"/>
      <c r="C18" s="47"/>
      <c r="D18" s="48"/>
      <c r="E18" s="49"/>
    </row>
    <row r="19" spans="1:79" s="51" customFormat="1" x14ac:dyDescent="0.35">
      <c r="A19" s="45"/>
      <c r="B19" s="46"/>
      <c r="C19" s="47"/>
      <c r="D19" s="48"/>
      <c r="E19" s="8" t="str">
        <f xml:space="preserve"> E$17</f>
        <v>First model period BEG</v>
      </c>
      <c r="F19" s="51">
        <f xml:space="preserve"> F$17</f>
        <v>42095</v>
      </c>
      <c r="G19" s="51" t="str">
        <f xml:space="preserve"> G$17</f>
        <v>month</v>
      </c>
    </row>
    <row r="20" spans="1:79" x14ac:dyDescent="0.35">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35">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35">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35">
      <c r="A23" s="52"/>
      <c r="B23" s="53"/>
      <c r="C23" s="54"/>
      <c r="D23" s="55"/>
      <c r="E23" s="8"/>
    </row>
    <row r="24" spans="1:79" s="56" customFormat="1" x14ac:dyDescent="0.35">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35">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35">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35">
      <c r="A27" s="16"/>
      <c r="B27" s="17"/>
      <c r="C27" s="18"/>
      <c r="D27" s="19"/>
      <c r="E27" s="32"/>
      <c r="G27" s="34"/>
    </row>
    <row r="28" spans="1:79" s="33" customFormat="1" x14ac:dyDescent="0.35">
      <c r="A28" s="16"/>
      <c r="B28" s="17"/>
      <c r="C28" s="18"/>
      <c r="D28" s="19"/>
      <c r="E28" s="32"/>
      <c r="G28" s="34"/>
    </row>
    <row r="29" spans="1:79" s="224" customFormat="1" ht="13.5" x14ac:dyDescent="0.45">
      <c r="A29" s="224" t="s">
        <v>255</v>
      </c>
    </row>
    <row r="30" spans="1:79" s="56" customFormat="1" x14ac:dyDescent="0.35">
      <c r="A30" s="52"/>
      <c r="B30" s="53"/>
      <c r="C30" s="54"/>
      <c r="D30" s="55"/>
      <c r="E30" s="8"/>
    </row>
    <row r="31" spans="1:79" s="50" customFormat="1" x14ac:dyDescent="0.35">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35">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35">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35">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35">
      <c r="A35" s="21"/>
      <c r="B35" s="22"/>
      <c r="D35" s="24"/>
      <c r="E35" s="8" t="s">
        <v>258</v>
      </c>
      <c r="F35" s="65">
        <f xml:space="preserve"> SUM(J34:CA34)</f>
        <v>5</v>
      </c>
      <c r="G35" s="31" t="s">
        <v>259</v>
      </c>
    </row>
    <row r="36" spans="1:79" x14ac:dyDescent="0.35">
      <c r="A36" s="21"/>
      <c r="B36" s="22"/>
      <c r="D36" s="24"/>
    </row>
    <row r="37" spans="1:79" s="50" customFormat="1" x14ac:dyDescent="0.35">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35">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35">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35">
      <c r="A40" s="52"/>
      <c r="B40" s="53"/>
      <c r="C40" s="54"/>
      <c r="D40" s="55"/>
      <c r="E40" s="8"/>
    </row>
    <row r="41" spans="1:79" s="56" customFormat="1" x14ac:dyDescent="0.35">
      <c r="A41" s="52"/>
      <c r="B41" s="53"/>
      <c r="C41" s="54"/>
      <c r="D41" s="55"/>
      <c r="E41" s="8"/>
    </row>
    <row r="42" spans="1:79" s="224" customFormat="1" ht="13.5" x14ac:dyDescent="0.45">
      <c r="A42" s="224" t="s">
        <v>261</v>
      </c>
    </row>
    <row r="43" spans="1:79" x14ac:dyDescent="0.35">
      <c r="A43" s="21"/>
      <c r="B43" s="22"/>
      <c r="D43" s="24"/>
    </row>
    <row r="44" spans="1:79" x14ac:dyDescent="0.35">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35">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35">
      <c r="A46" s="21"/>
      <c r="B46" s="22"/>
      <c r="D46" s="24"/>
    </row>
    <row r="47" spans="1:79" s="50" customFormat="1" x14ac:dyDescent="0.35">
      <c r="A47" s="45"/>
      <c r="B47" s="46"/>
      <c r="C47" s="47"/>
      <c r="D47" s="48"/>
      <c r="E47" s="311" t="str">
        <f>InpActive!E$157</f>
        <v>Last forecast date</v>
      </c>
      <c r="F47" s="312">
        <f>InpActive!F$157</f>
        <v>45747</v>
      </c>
      <c r="G47" s="312" t="str">
        <f>InpActive!G$157</f>
        <v>date</v>
      </c>
    </row>
    <row r="48" spans="1:79" x14ac:dyDescent="0.35">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35">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35">
      <c r="A50" s="21"/>
      <c r="B50" s="22"/>
      <c r="D50" s="24"/>
    </row>
    <row r="51" spans="1:20" x14ac:dyDescent="0.35">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35">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35">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35">
      <c r="A54" s="21"/>
      <c r="B54" s="22"/>
      <c r="D54" s="24"/>
      <c r="E54" s="8" t="s">
        <v>265</v>
      </c>
      <c r="F54" s="31">
        <f xml:space="preserve"> SUM(J53:CA53)</f>
        <v>5</v>
      </c>
      <c r="G54" s="31" t="s">
        <v>259</v>
      </c>
    </row>
    <row r="55" spans="1:20" x14ac:dyDescent="0.35">
      <c r="A55" s="21"/>
      <c r="B55" s="22"/>
      <c r="D55" s="24"/>
    </row>
    <row r="56" spans="1:20" x14ac:dyDescent="0.35">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35">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35">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35">
      <c r="A59" s="21"/>
      <c r="B59" s="22"/>
      <c r="D59" s="24"/>
    </row>
    <row r="60" spans="1:20" x14ac:dyDescent="0.35">
      <c r="A60" s="21"/>
      <c r="B60" s="22"/>
      <c r="D60" s="24"/>
    </row>
    <row r="61" spans="1:20" s="224" customFormat="1" ht="13.5" x14ac:dyDescent="0.45">
      <c r="A61" s="224" t="s">
        <v>267</v>
      </c>
    </row>
    <row r="62" spans="1:20" x14ac:dyDescent="0.35">
      <c r="A62" s="21"/>
      <c r="B62" s="22"/>
      <c r="D62" s="24"/>
    </row>
    <row r="63" spans="1:20" x14ac:dyDescent="0.35">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35">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35">
      <c r="A65" s="21"/>
      <c r="B65" s="22"/>
      <c r="D65" s="24"/>
    </row>
    <row r="66" spans="1:20" x14ac:dyDescent="0.35">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35">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35">
      <c r="A68" s="21"/>
      <c r="B68" s="22"/>
      <c r="D68" s="24"/>
      <c r="E68" s="8" t="s">
        <v>270</v>
      </c>
      <c r="F68" s="31">
        <f xml:space="preserve"> SUM(J67:CA67)</f>
        <v>1</v>
      </c>
      <c r="G68" s="31" t="s">
        <v>259</v>
      </c>
    </row>
    <row r="69" spans="1:20" x14ac:dyDescent="0.35">
      <c r="A69" s="21"/>
      <c r="B69" s="22"/>
      <c r="D69" s="24"/>
    </row>
    <row r="70" spans="1:20" x14ac:dyDescent="0.35">
      <c r="A70" s="21"/>
      <c r="B70" s="22"/>
      <c r="D70" s="24"/>
    </row>
    <row r="71" spans="1:20" s="224" customFormat="1" ht="13.5" x14ac:dyDescent="0.45">
      <c r="A71" s="224" t="s">
        <v>271</v>
      </c>
    </row>
    <row r="72" spans="1:20" x14ac:dyDescent="0.35">
      <c r="A72" s="21"/>
      <c r="B72" s="22"/>
      <c r="D72" s="24"/>
    </row>
    <row r="73" spans="1:20" x14ac:dyDescent="0.35">
      <c r="A73" s="21"/>
      <c r="B73" s="22"/>
      <c r="D73" s="24"/>
      <c r="E73" s="8" t="str">
        <f xml:space="preserve"> E$11</f>
        <v>Model Column Total</v>
      </c>
      <c r="F73" s="31">
        <f xml:space="preserve"> F$11</f>
        <v>11</v>
      </c>
      <c r="G73" s="31" t="str">
        <f xml:space="preserve"> G$11</f>
        <v>column</v>
      </c>
    </row>
    <row r="74" spans="1:20" x14ac:dyDescent="0.35">
      <c r="A74" s="21"/>
      <c r="B74" s="22"/>
      <c r="D74" s="24" t="s">
        <v>252</v>
      </c>
      <c r="E74" s="8" t="str">
        <f xml:space="preserve"> E$35</f>
        <v>Pre Forecast Period Total</v>
      </c>
      <c r="F74" s="31">
        <f xml:space="preserve"> F$35</f>
        <v>5</v>
      </c>
      <c r="G74" s="31" t="str">
        <f xml:space="preserve"> G$35</f>
        <v>columns</v>
      </c>
    </row>
    <row r="75" spans="1:20" x14ac:dyDescent="0.35">
      <c r="A75" s="21"/>
      <c r="B75" s="22"/>
      <c r="D75" s="24" t="s">
        <v>252</v>
      </c>
      <c r="E75" s="8" t="str">
        <f xml:space="preserve"> E$54</f>
        <v xml:space="preserve">Forecast Period Total </v>
      </c>
      <c r="F75" s="31">
        <f xml:space="preserve"> F$54</f>
        <v>5</v>
      </c>
      <c r="G75" s="31" t="str">
        <f xml:space="preserve"> G$54</f>
        <v>columns</v>
      </c>
    </row>
    <row r="76" spans="1:20" x14ac:dyDescent="0.35">
      <c r="A76" s="21"/>
      <c r="B76" s="22"/>
      <c r="D76" s="24" t="s">
        <v>252</v>
      </c>
      <c r="E76" s="8" t="str">
        <f xml:space="preserve"> E$68</f>
        <v>Post Forecast Period Total</v>
      </c>
      <c r="F76" s="31">
        <f xml:space="preserve"> F$68</f>
        <v>1</v>
      </c>
      <c r="G76" s="31" t="str">
        <f xml:space="preserve"> G$68</f>
        <v>columns</v>
      </c>
    </row>
    <row r="77" spans="1:20" x14ac:dyDescent="0.35">
      <c r="A77" s="21"/>
      <c r="B77" s="22"/>
      <c r="D77" s="24"/>
      <c r="E77" s="8" t="s">
        <v>272</v>
      </c>
      <c r="F77" s="74">
        <f xml:space="preserve"> IF(F73 - SUM(F74:F76) &lt;&gt; 0, 1, 0)</f>
        <v>0</v>
      </c>
      <c r="G77" s="31" t="s">
        <v>273</v>
      </c>
    </row>
    <row r="78" spans="1:20" x14ac:dyDescent="0.35">
      <c r="A78" s="21"/>
      <c r="B78" s="22"/>
      <c r="D78" s="24"/>
    </row>
    <row r="79" spans="1:20" x14ac:dyDescent="0.35">
      <c r="A79" s="75"/>
      <c r="B79" s="75" t="s">
        <v>274</v>
      </c>
      <c r="D79" s="24"/>
    </row>
    <row r="80" spans="1:20" x14ac:dyDescent="0.35">
      <c r="A80" s="21"/>
      <c r="B80" s="22"/>
      <c r="D80" s="24"/>
    </row>
    <row r="81" spans="1:20" x14ac:dyDescent="0.35">
      <c r="A81" s="21"/>
      <c r="B81" s="22"/>
      <c r="D81" s="24"/>
      <c r="E81" s="311" t="str">
        <f>InpActive!E161</f>
        <v>First modelling column financial year number</v>
      </c>
      <c r="F81" s="313">
        <f>InpActive!F161</f>
        <v>2016</v>
      </c>
      <c r="G81" s="314" t="str">
        <f>InpActive!G161</f>
        <v>year</v>
      </c>
    </row>
    <row r="82" spans="1:20" x14ac:dyDescent="0.35">
      <c r="A82" s="21"/>
      <c r="B82" s="22"/>
      <c r="D82" s="24"/>
      <c r="E82" s="311" t="str">
        <f>InpActive!E162</f>
        <v>Financial year end month number</v>
      </c>
      <c r="F82" s="314">
        <f>InpActive!F162</f>
        <v>3</v>
      </c>
      <c r="G82" s="314" t="str">
        <f>InpActive!G162</f>
        <v>month #</v>
      </c>
    </row>
    <row r="83" spans="1:20" s="56" customFormat="1" x14ac:dyDescent="0.35">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35">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35">
      <c r="A85" s="21"/>
      <c r="B85" s="22"/>
      <c r="C85" s="23"/>
      <c r="D85" s="24"/>
      <c r="E85" s="57" t="s">
        <v>275</v>
      </c>
      <c r="G85" s="58" t="s">
        <v>276</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35"/>
    <row r="87" spans="1:20" s="223" customFormat="1" ht="13.5" x14ac:dyDescent="0.45">
      <c r="A87" s="223"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35">
      <c r="A1" s="140" t="str">
        <f ca="1" xml:space="preserve"> RIGHT(CELL("filename", $A$1), LEN(CELL("filename", $A$1)) - SEARCH("]", CELL("filename", $A$1)))</f>
        <v>Index</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ht="13.15" x14ac:dyDescent="0.35">
      <c r="B6" s="185"/>
      <c r="C6" s="186"/>
      <c r="D6" s="187"/>
      <c r="E6" s="174"/>
      <c r="I6" s="174"/>
      <c r="J6" s="174"/>
      <c r="K6" s="174"/>
      <c r="L6" s="174"/>
      <c r="M6" s="174"/>
      <c r="N6" s="174"/>
      <c r="O6" s="174"/>
      <c r="P6" s="174"/>
      <c r="Q6" s="174"/>
      <c r="R6" s="174"/>
      <c r="S6" s="174"/>
      <c r="T6" s="174"/>
    </row>
    <row r="7" spans="1:20" s="224" customFormat="1" ht="13.5" x14ac:dyDescent="0.45">
      <c r="A7" s="224" t="s">
        <v>33</v>
      </c>
    </row>
    <row r="8" spans="1:20" s="166" customFormat="1" ht="13.5" x14ac:dyDescent="0.35">
      <c r="A8" s="167"/>
      <c r="B8" s="168"/>
      <c r="C8" s="197"/>
      <c r="D8" s="198"/>
      <c r="H8" s="202"/>
    </row>
    <row r="9" spans="1:20" s="166" customFormat="1" ht="13.15" x14ac:dyDescent="0.35">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ht="13.15" x14ac:dyDescent="0.35">
      <c r="A10" s="21"/>
      <c r="B10" s="22"/>
      <c r="C10" s="23"/>
      <c r="D10" s="24"/>
      <c r="E10" s="317" t="s">
        <v>277</v>
      </c>
      <c r="F10" s="31"/>
      <c r="G10" s="318" t="s">
        <v>247</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ht="13.15" x14ac:dyDescent="0.35">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112.6</v>
      </c>
      <c r="Q11" s="319">
        <f>InpActive!Q85</f>
        <v>0</v>
      </c>
      <c r="R11" s="319">
        <f>InpActive!R85</f>
        <v>0</v>
      </c>
      <c r="S11" s="319">
        <f>InpActive!S85</f>
        <v>0</v>
      </c>
      <c r="T11" s="319">
        <f>InpActive!T85</f>
        <v>0</v>
      </c>
    </row>
    <row r="12" spans="1:20" s="344" customFormat="1" ht="13.15" x14ac:dyDescent="0.35">
      <c r="A12" s="369"/>
      <c r="B12" s="370"/>
      <c r="C12" s="321"/>
      <c r="D12" s="278"/>
      <c r="E12" s="320" t="s">
        <v>413</v>
      </c>
      <c r="F12" s="320"/>
      <c r="G12" s="320" t="s">
        <v>160</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 t="shared" si="1"/>
        <v>5.5299539170505785E-3</v>
      </c>
      <c r="Q12" s="320">
        <f t="shared" si="1"/>
        <v>3.208065994500453E-2</v>
      </c>
      <c r="R12" s="320">
        <f t="shared" si="1"/>
        <v>0</v>
      </c>
      <c r="S12" s="320">
        <f t="shared" si="1"/>
        <v>0</v>
      </c>
      <c r="T12" s="320">
        <f t="shared" si="1"/>
        <v>0</v>
      </c>
    </row>
    <row r="13" spans="1:20" s="166" customFormat="1" ht="13.15" x14ac:dyDescent="0.35">
      <c r="A13" s="167"/>
      <c r="B13" s="168"/>
      <c r="C13" s="197"/>
      <c r="D13" s="198"/>
      <c r="E13" s="315"/>
      <c r="G13" s="315"/>
      <c r="L13" s="315"/>
      <c r="M13" s="315"/>
      <c r="N13" s="315"/>
      <c r="O13" s="315"/>
      <c r="P13" s="315"/>
      <c r="Q13" s="315"/>
      <c r="R13" s="315"/>
      <c r="S13" s="315"/>
      <c r="T13" s="315"/>
    </row>
    <row r="14" spans="1:20" s="166" customFormat="1" ht="13.15" x14ac:dyDescent="0.35">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ht="13.15" x14ac:dyDescent="0.35">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112.6</v>
      </c>
      <c r="Q15" s="319">
        <f>InpActive!Q85</f>
        <v>0</v>
      </c>
      <c r="R15" s="319">
        <f>InpActive!R85</f>
        <v>0</v>
      </c>
      <c r="S15" s="319">
        <f>InpActive!S85</f>
        <v>0</v>
      </c>
      <c r="T15" s="319">
        <f>InpActive!T85</f>
        <v>0</v>
      </c>
    </row>
    <row r="16" spans="1:20" s="344" customFormat="1" ht="13.15" x14ac:dyDescent="0.35">
      <c r="A16" s="369"/>
      <c r="B16" s="370"/>
      <c r="C16" s="321"/>
      <c r="D16" s="278"/>
      <c r="E16" s="320" t="s">
        <v>414</v>
      </c>
      <c r="F16" s="320"/>
      <c r="G16" s="320" t="s">
        <v>160</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 t="shared" si="4"/>
        <v>1.0717092337917484</v>
      </c>
      <c r="Q16" s="320">
        <f t="shared" si="4"/>
        <v>1.1060903732809431</v>
      </c>
      <c r="R16" s="320">
        <f t="shared" si="4"/>
        <v>1.1060903732809431</v>
      </c>
      <c r="S16" s="320">
        <f t="shared" si="4"/>
        <v>1.1060903732809431</v>
      </c>
      <c r="T16" s="320">
        <f t="shared" si="4"/>
        <v>1.1060903732809431</v>
      </c>
    </row>
    <row r="17" spans="1:20" s="344" customFormat="1" ht="13.15" x14ac:dyDescent="0.35">
      <c r="B17" s="371"/>
      <c r="C17" s="371"/>
      <c r="E17" s="320"/>
      <c r="F17" s="372"/>
      <c r="G17" s="320"/>
      <c r="H17" s="320"/>
      <c r="I17" s="320"/>
      <c r="L17" s="320"/>
      <c r="M17" s="320"/>
      <c r="N17" s="320"/>
      <c r="O17" s="320"/>
      <c r="P17" s="320"/>
      <c r="Q17" s="320"/>
      <c r="R17" s="320"/>
      <c r="S17" s="320"/>
      <c r="T17" s="320"/>
    </row>
    <row r="18" spans="1:20" s="166" customFormat="1" ht="13.15" x14ac:dyDescent="0.35">
      <c r="B18" s="236"/>
      <c r="C18" s="236"/>
    </row>
    <row r="19" spans="1:20" s="223" customFormat="1" ht="13.5" x14ac:dyDescent="0.45">
      <c r="A19" s="223"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35"/>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35">
      <c r="A1" s="129" t="str">
        <f ca="1" xml:space="preserve"> RIGHT(CELL("filename", $A$1), LEN(CELL("filename", $A$1)) - SEARCH("]", CELL("filename", $A$1)))</f>
        <v>Abatements and deferrals</v>
      </c>
      <c r="H1" s="447" t="str">
        <f>InpActive!F9</f>
        <v>Thames Water</v>
      </c>
    </row>
    <row r="2" spans="1:9" s="81" customFormat="1" ht="13.15" x14ac:dyDescent="0.35">
      <c r="A2" s="130"/>
      <c r="B2" s="130"/>
      <c r="C2" s="130"/>
      <c r="D2" s="130"/>
      <c r="E2" s="130"/>
      <c r="F2" s="161" t="s">
        <v>105</v>
      </c>
      <c r="G2" s="161" t="s">
        <v>106</v>
      </c>
      <c r="H2" s="302" t="s">
        <v>107</v>
      </c>
    </row>
    <row r="3" spans="1:9" s="81" customFormat="1" ht="13.15" x14ac:dyDescent="0.35">
      <c r="A3" s="130"/>
      <c r="B3" s="130"/>
      <c r="C3" s="130"/>
      <c r="D3" s="130"/>
      <c r="E3" s="130"/>
      <c r="F3" s="161"/>
      <c r="G3" s="161"/>
      <c r="H3" s="302"/>
    </row>
    <row r="4" spans="1:9" s="224" customFormat="1" ht="13.5" x14ac:dyDescent="0.45">
      <c r="A4" s="224" t="s">
        <v>278</v>
      </c>
    </row>
    <row r="5" spans="1:9" s="85" customFormat="1" x14ac:dyDescent="0.35">
      <c r="A5" s="82"/>
      <c r="B5" s="131"/>
      <c r="C5" s="131"/>
      <c r="D5" s="132"/>
      <c r="E5" s="83"/>
      <c r="F5" s="84"/>
      <c r="G5" s="83"/>
      <c r="H5" s="256"/>
      <c r="I5" s="86"/>
    </row>
    <row r="6" spans="1:9" s="85" customFormat="1" ht="13.15" x14ac:dyDescent="0.35">
      <c r="A6" s="82"/>
      <c r="B6" s="83"/>
      <c r="C6" s="323" t="s">
        <v>279</v>
      </c>
      <c r="D6" s="132"/>
      <c r="E6" s="83"/>
      <c r="F6" s="84"/>
      <c r="G6" s="83"/>
      <c r="H6" s="256"/>
      <c r="I6" s="86"/>
    </row>
    <row r="7" spans="1:9" s="85" customFormat="1" x14ac:dyDescent="0.35">
      <c r="A7" s="82"/>
      <c r="B7" s="131"/>
      <c r="C7" s="131"/>
      <c r="D7" s="132"/>
      <c r="E7" s="83"/>
      <c r="F7" s="84"/>
      <c r="G7" s="83"/>
      <c r="H7" s="256"/>
      <c r="I7" s="86"/>
    </row>
    <row r="8" spans="1:9" s="2" customFormat="1" x14ac:dyDescent="0.35">
      <c r="A8" s="133"/>
      <c r="B8" s="133"/>
      <c r="C8" s="133"/>
      <c r="D8" s="324" t="str">
        <f>InpActive!D20</f>
        <v>Net ODI payments (by price control)</v>
      </c>
      <c r="E8" s="133"/>
      <c r="F8" s="257"/>
      <c r="G8" s="133"/>
    </row>
    <row r="9" spans="1:9" s="2" customFormat="1" x14ac:dyDescent="0.35">
      <c r="A9" s="133"/>
      <c r="B9" s="133"/>
      <c r="C9" s="133"/>
      <c r="D9" s="133"/>
      <c r="E9" s="325" t="str">
        <f>InpActive!E21</f>
        <v>Net ODI payments - water resources</v>
      </c>
      <c r="F9" s="326">
        <f>InpActive!F21</f>
        <v>-1.7776799999999999E-2</v>
      </c>
      <c r="G9" s="325" t="str">
        <f>InpActive!G21</f>
        <v>£m (2017-18 FYA CPIH prices)</v>
      </c>
      <c r="H9" s="327"/>
    </row>
    <row r="10" spans="1:9" s="2" customFormat="1" x14ac:dyDescent="0.35">
      <c r="A10" s="133"/>
      <c r="B10" s="133"/>
      <c r="C10" s="133"/>
      <c r="D10" s="133"/>
      <c r="E10" s="325" t="str">
        <f>InpActive!E22</f>
        <v>Net ODI payments - water network plus</v>
      </c>
      <c r="F10" s="326">
        <f>InpActive!F22</f>
        <v>-9.1004800728694004</v>
      </c>
      <c r="G10" s="325" t="str">
        <f>InpActive!G22</f>
        <v>£m (2017-18 FYA CPIH prices)</v>
      </c>
      <c r="H10" s="327"/>
    </row>
    <row r="11" spans="1:9" s="2" customFormat="1" x14ac:dyDescent="0.35">
      <c r="A11" s="133"/>
      <c r="B11" s="133"/>
      <c r="C11" s="133"/>
      <c r="D11" s="133"/>
      <c r="E11" s="325" t="str">
        <f>InpActive!E23</f>
        <v>Net ODI payments - wastewater network plus</v>
      </c>
      <c r="F11" s="326">
        <f>InpActive!F23</f>
        <v>-18.354731000000001</v>
      </c>
      <c r="G11" s="325" t="str">
        <f>InpActive!G23</f>
        <v>£m (2017-18 FYA CPIH prices)</v>
      </c>
      <c r="H11" s="327"/>
    </row>
    <row r="12" spans="1:9" s="2" customFormat="1" x14ac:dyDescent="0.35">
      <c r="A12" s="133"/>
      <c r="B12" s="133"/>
      <c r="C12" s="133"/>
      <c r="D12" s="133"/>
      <c r="E12" s="325" t="str">
        <f>InpActive!E24</f>
        <v>Net ODI payments - bioresources (sludge)</v>
      </c>
      <c r="F12" s="326">
        <f>InpActive!F24</f>
        <v>-1.2331799999999999</v>
      </c>
      <c r="G12" s="325" t="str">
        <f>InpActive!G24</f>
        <v>£m (2017-18 FYA CPIH prices)</v>
      </c>
      <c r="H12" s="327"/>
    </row>
    <row r="13" spans="1:9" s="2" customFormat="1" x14ac:dyDescent="0.35">
      <c r="A13" s="133"/>
      <c r="B13" s="133"/>
      <c r="C13" s="133"/>
      <c r="D13" s="133"/>
      <c r="E13" s="325" t="str">
        <f>InpActive!E25</f>
        <v>Net ODI payments - residential retail</v>
      </c>
      <c r="F13" s="326">
        <f>InpActive!F25</f>
        <v>-0.51939999999999997</v>
      </c>
      <c r="G13" s="325" t="str">
        <f>InpActive!G25</f>
        <v>£m (2017-18 FYA CPIH prices)</v>
      </c>
      <c r="H13" s="327"/>
    </row>
    <row r="14" spans="1:9" s="2" customFormat="1" x14ac:dyDescent="0.35">
      <c r="A14" s="133"/>
      <c r="B14" s="133"/>
      <c r="C14" s="133"/>
      <c r="D14" s="133"/>
      <c r="E14" s="325" t="str">
        <f>InpActive!E26</f>
        <v>Net ODI payments - business retail</v>
      </c>
      <c r="F14" s="326">
        <f>InpActive!F26</f>
        <v>0</v>
      </c>
      <c r="G14" s="325" t="str">
        <f>InpActive!G26</f>
        <v>£m (2017-18 FYA CPIH prices)</v>
      </c>
      <c r="H14" s="327"/>
    </row>
    <row r="15" spans="1:9" s="2" customFormat="1" x14ac:dyDescent="0.35">
      <c r="A15" s="133"/>
      <c r="B15" s="133"/>
      <c r="C15" s="133"/>
      <c r="D15" s="133"/>
      <c r="E15" s="325" t="str">
        <f>InpActive!E27</f>
        <v>Net ODI payments - dummy control</v>
      </c>
      <c r="F15" s="326">
        <f>InpActive!F27</f>
        <v>0</v>
      </c>
      <c r="G15" s="325" t="str">
        <f>InpActive!G27</f>
        <v>£m (2017-18 FYA CPIH prices)</v>
      </c>
      <c r="H15" s="327"/>
    </row>
    <row r="16" spans="1:9" s="2" customFormat="1" x14ac:dyDescent="0.35">
      <c r="A16" s="133"/>
      <c r="B16" s="133"/>
      <c r="C16" s="133"/>
      <c r="D16" s="133"/>
      <c r="E16" s="88"/>
      <c r="F16" s="258"/>
      <c r="G16" s="88"/>
    </row>
    <row r="17" spans="1:13" s="2" customFormat="1" x14ac:dyDescent="0.35">
      <c r="A17" s="133"/>
      <c r="B17" s="133"/>
      <c r="C17" s="133"/>
      <c r="D17" s="324" t="str">
        <f>InpActive!D29</f>
        <v>Other in-period adjustments</v>
      </c>
      <c r="E17" s="133"/>
      <c r="F17" s="257"/>
      <c r="G17" s="133"/>
    </row>
    <row r="18" spans="1:13" s="2" customFormat="1" x14ac:dyDescent="0.35">
      <c r="A18" s="133"/>
      <c r="B18" s="133"/>
      <c r="C18" s="133"/>
      <c r="D18" s="133"/>
      <c r="E18" s="325" t="str">
        <f>InpActive!E30</f>
        <v>Other in-period payments - C-MeX (residential retail)</v>
      </c>
      <c r="F18" s="326">
        <f>InpActive!F30</f>
        <v>-16.753440000000001</v>
      </c>
      <c r="G18" s="325" t="str">
        <f>InpActive!G30</f>
        <v>£m (2017-18 FYA CPIH prices)</v>
      </c>
      <c r="H18" s="327"/>
    </row>
    <row r="19" spans="1:13" s="2" customFormat="1" x14ac:dyDescent="0.35">
      <c r="A19" s="133"/>
      <c r="B19" s="133"/>
      <c r="C19" s="133"/>
      <c r="D19" s="133"/>
      <c r="E19" s="325" t="str">
        <f>InpActive!E31</f>
        <v>Other in-period payments - D-MeX (water network plus)</v>
      </c>
      <c r="F19" s="326">
        <f>InpActive!F31</f>
        <v>-1.2266323943802</v>
      </c>
      <c r="G19" s="325" t="str">
        <f>InpActive!G31</f>
        <v>£m (2017-18 FYA CPIH prices)</v>
      </c>
      <c r="H19" s="327"/>
    </row>
    <row r="20" spans="1:13" s="2" customFormat="1" x14ac:dyDescent="0.35">
      <c r="A20" s="133"/>
      <c r="B20" s="133"/>
      <c r="C20" s="133"/>
      <c r="D20" s="133"/>
      <c r="E20" s="325" t="str">
        <f>InpActive!E32</f>
        <v>Other in-period payments - D-MeX (wastewater network plus)</v>
      </c>
      <c r="F20" s="326">
        <f>InpActive!F32</f>
        <v>-0.63421432112364295</v>
      </c>
      <c r="G20" s="325" t="str">
        <f>InpActive!G32</f>
        <v>£m (2017-18 FYA CPIH prices)</v>
      </c>
      <c r="H20" s="327"/>
    </row>
    <row r="21" spans="1:13" s="2" customFormat="1" x14ac:dyDescent="0.35">
      <c r="A21" s="133"/>
      <c r="B21" s="133"/>
      <c r="C21" s="133"/>
      <c r="D21" s="133"/>
      <c r="E21" s="133"/>
      <c r="F21" s="257"/>
      <c r="G21" s="133"/>
    </row>
    <row r="22" spans="1:13" s="2" customFormat="1" x14ac:dyDescent="0.35">
      <c r="A22" s="133"/>
      <c r="B22" s="133"/>
      <c r="C22" s="133"/>
      <c r="D22" s="324" t="str">
        <f>InpActive!D34</f>
        <v>ODI payments deferred from previous reconciliation year</v>
      </c>
      <c r="E22" s="133"/>
      <c r="F22" s="257"/>
      <c r="G22" s="133"/>
    </row>
    <row r="23" spans="1:13" s="87" customFormat="1" x14ac:dyDescent="0.35">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35">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35">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35">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35">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35">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35">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35">
      <c r="A30" s="133"/>
      <c r="B30" s="133"/>
      <c r="C30" s="133"/>
      <c r="D30" s="133"/>
      <c r="E30" s="133"/>
      <c r="F30" s="257"/>
      <c r="G30" s="133"/>
      <c r="M30" s="87"/>
    </row>
    <row r="31" spans="1:13" s="2" customFormat="1" x14ac:dyDescent="0.35">
      <c r="A31" s="133"/>
      <c r="B31" s="133"/>
      <c r="C31" s="133"/>
      <c r="D31" s="324" t="s">
        <v>280</v>
      </c>
      <c r="E31" s="133"/>
      <c r="F31" s="257"/>
      <c r="G31" s="133"/>
      <c r="M31" s="87"/>
    </row>
    <row r="32" spans="1:13" s="2" customFormat="1" x14ac:dyDescent="0.35">
      <c r="A32" s="133"/>
      <c r="B32" s="133"/>
      <c r="C32" s="133"/>
      <c r="D32" s="133"/>
      <c r="E32" s="329" t="s">
        <v>281</v>
      </c>
      <c r="F32" s="330">
        <f>F9+F23</f>
        <v>-1.7776799999999999E-2</v>
      </c>
      <c r="G32" s="329" t="str">
        <f>InpActive!$F$15</f>
        <v>£m (2017-18 FYA CPIH prices)</v>
      </c>
      <c r="H32" s="327"/>
      <c r="M32" s="87"/>
    </row>
    <row r="33" spans="1:13" s="2" customFormat="1" x14ac:dyDescent="0.35">
      <c r="A33" s="133"/>
      <c r="B33" s="133"/>
      <c r="C33" s="133"/>
      <c r="D33" s="133"/>
      <c r="E33" s="329" t="s">
        <v>282</v>
      </c>
      <c r="F33" s="330">
        <f>F10+F19+F24</f>
        <v>-10.3271124672496</v>
      </c>
      <c r="G33" s="329" t="str">
        <f>InpActive!$F$15</f>
        <v>£m (2017-18 FYA CPIH prices)</v>
      </c>
      <c r="H33" s="327"/>
      <c r="M33" s="87"/>
    </row>
    <row r="34" spans="1:13" s="2" customFormat="1" x14ac:dyDescent="0.35">
      <c r="A34" s="133"/>
      <c r="B34" s="133"/>
      <c r="C34" s="133"/>
      <c r="D34" s="133"/>
      <c r="E34" s="329" t="s">
        <v>283</v>
      </c>
      <c r="F34" s="330">
        <f>F11+F20+F25</f>
        <v>-18.988945321123644</v>
      </c>
      <c r="G34" s="329" t="str">
        <f>InpActive!$F$15</f>
        <v>£m (2017-18 FYA CPIH prices)</v>
      </c>
      <c r="H34" s="327"/>
      <c r="M34" s="87"/>
    </row>
    <row r="35" spans="1:13" s="2" customFormat="1" x14ac:dyDescent="0.35">
      <c r="A35" s="133"/>
      <c r="B35" s="133"/>
      <c r="C35" s="133"/>
      <c r="D35" s="133"/>
      <c r="E35" s="329" t="s">
        <v>284</v>
      </c>
      <c r="F35" s="330">
        <f>F12+F26</f>
        <v>-1.2331799999999999</v>
      </c>
      <c r="G35" s="329" t="str">
        <f>InpActive!$F$15</f>
        <v>£m (2017-18 FYA CPIH prices)</v>
      </c>
      <c r="H35" s="327"/>
      <c r="M35" s="87"/>
    </row>
    <row r="36" spans="1:13" s="2" customFormat="1" x14ac:dyDescent="0.35">
      <c r="A36" s="133"/>
      <c r="B36" s="133"/>
      <c r="C36" s="133"/>
      <c r="D36" s="133"/>
      <c r="E36" s="329" t="s">
        <v>285</v>
      </c>
      <c r="F36" s="330">
        <f>F13+F18+F27</f>
        <v>-17.272840000000002</v>
      </c>
      <c r="G36" s="329" t="str">
        <f>InpActive!$F$15</f>
        <v>£m (2017-18 FYA CPIH prices)</v>
      </c>
      <c r="H36" s="327"/>
      <c r="M36" s="87"/>
    </row>
    <row r="37" spans="1:13" s="2" customFormat="1" x14ac:dyDescent="0.35">
      <c r="A37" s="133"/>
      <c r="B37" s="133"/>
      <c r="C37" s="133"/>
      <c r="D37" s="133"/>
      <c r="E37" s="329" t="s">
        <v>286</v>
      </c>
      <c r="F37" s="330">
        <f>F14+F28</f>
        <v>0</v>
      </c>
      <c r="G37" s="329" t="str">
        <f>InpActive!$F$15</f>
        <v>£m (2017-18 FYA CPIH prices)</v>
      </c>
      <c r="H37" s="327"/>
      <c r="M37" s="87"/>
    </row>
    <row r="38" spans="1:13" s="2" customFormat="1" x14ac:dyDescent="0.35">
      <c r="A38" s="133"/>
      <c r="B38" s="133"/>
      <c r="C38" s="133"/>
      <c r="D38" s="133"/>
      <c r="E38" s="329" t="s">
        <v>287</v>
      </c>
      <c r="F38" s="330">
        <f>F15+F29</f>
        <v>0</v>
      </c>
      <c r="G38" s="329" t="str">
        <f>InpActive!$F$15</f>
        <v>£m (2017-18 FYA CPIH prices)</v>
      </c>
      <c r="H38" s="327"/>
    </row>
    <row r="39" spans="1:13" s="2" customFormat="1" x14ac:dyDescent="0.35">
      <c r="A39" s="133"/>
      <c r="B39" s="133"/>
      <c r="C39" s="133"/>
      <c r="D39" s="133"/>
      <c r="E39" s="133"/>
      <c r="F39" s="257"/>
      <c r="G39" s="133"/>
    </row>
    <row r="40" spans="1:13" s="2" customFormat="1" ht="13.15" x14ac:dyDescent="0.35">
      <c r="A40" s="133"/>
      <c r="B40" s="133"/>
      <c r="C40" s="137" t="s">
        <v>141</v>
      </c>
      <c r="D40" s="133"/>
      <c r="E40" s="133"/>
      <c r="F40" s="257"/>
      <c r="G40" s="133"/>
    </row>
    <row r="41" spans="1:13" s="2" customFormat="1" x14ac:dyDescent="0.35">
      <c r="A41" s="133"/>
      <c r="B41" s="133"/>
      <c r="C41" s="133"/>
      <c r="D41" s="133"/>
      <c r="E41" s="133"/>
      <c r="F41" s="257"/>
      <c r="G41" s="133"/>
    </row>
    <row r="42" spans="1:13" s="2" customFormat="1" x14ac:dyDescent="0.35">
      <c r="A42" s="133"/>
      <c r="B42" s="133"/>
      <c r="C42" s="133"/>
      <c r="D42" s="324" t="str">
        <f>InpActive!D46</f>
        <v>Voluntary abatements</v>
      </c>
      <c r="E42" s="133"/>
      <c r="F42" s="257"/>
      <c r="G42" s="133"/>
    </row>
    <row r="43" spans="1:13" s="2" customFormat="1" x14ac:dyDescent="0.35">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35">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35">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35">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35">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35">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35">
      <c r="A49" s="133"/>
      <c r="B49" s="133"/>
      <c r="C49" s="133"/>
      <c r="D49" s="133"/>
      <c r="E49" s="325" t="str">
        <f>InpActive!E53</f>
        <v>Voluntary abatements - dummy control</v>
      </c>
      <c r="F49" s="326">
        <f>InpActive!F53</f>
        <v>0</v>
      </c>
      <c r="G49" s="325" t="str">
        <f>InpActive!G53</f>
        <v>£m (2017-18 FYA CPIH prices)</v>
      </c>
      <c r="H49" s="327"/>
    </row>
    <row r="50" spans="1:8" s="2" customFormat="1" x14ac:dyDescent="0.35">
      <c r="A50" s="133"/>
      <c r="B50" s="133"/>
      <c r="C50" s="133"/>
      <c r="D50" s="133"/>
      <c r="E50" s="133"/>
      <c r="F50" s="257"/>
      <c r="G50" s="133"/>
    </row>
    <row r="51" spans="1:8" s="2" customFormat="1" x14ac:dyDescent="0.35">
      <c r="A51" s="133"/>
      <c r="B51" s="133"/>
      <c r="C51" s="133"/>
      <c r="D51" s="324" t="s">
        <v>288</v>
      </c>
      <c r="E51" s="133"/>
      <c r="F51" s="257"/>
      <c r="G51" s="133"/>
    </row>
    <row r="52" spans="1:8" s="2" customFormat="1" x14ac:dyDescent="0.35">
      <c r="A52" s="133"/>
      <c r="B52" s="133"/>
      <c r="C52" s="133"/>
      <c r="D52" s="133"/>
      <c r="E52" s="329" t="s">
        <v>289</v>
      </c>
      <c r="F52" s="330">
        <f>IF(F32&gt;0,IF(F43&lt;F32,F32-F43,0),F32)</f>
        <v>-1.7776799999999999E-2</v>
      </c>
      <c r="G52" s="329" t="str">
        <f>InpActive!$F$15</f>
        <v>£m (2017-18 FYA CPIH prices)</v>
      </c>
      <c r="H52" s="327"/>
    </row>
    <row r="53" spans="1:8" s="2" customFormat="1" x14ac:dyDescent="0.35">
      <c r="A53" s="133"/>
      <c r="B53" s="133"/>
      <c r="C53" s="133"/>
      <c r="D53" s="133"/>
      <c r="E53" s="329" t="s">
        <v>290</v>
      </c>
      <c r="F53" s="330">
        <f>IF(F33&gt;0,IF(F44&lt;F33,F33-F44,0),F33)</f>
        <v>-10.3271124672496</v>
      </c>
      <c r="G53" s="329" t="str">
        <f>InpActive!$F$15</f>
        <v>£m (2017-18 FYA CPIH prices)</v>
      </c>
      <c r="H53" s="327"/>
    </row>
    <row r="54" spans="1:8" s="2" customFormat="1" x14ac:dyDescent="0.35">
      <c r="A54" s="133"/>
      <c r="B54" s="133"/>
      <c r="C54" s="133"/>
      <c r="D54" s="133"/>
      <c r="E54" s="329" t="s">
        <v>291</v>
      </c>
      <c r="F54" s="330">
        <f t="shared" ref="F54:F57" si="0">IF(F34&gt;0,IF(F45&lt;F34,F34-F45,0),F34)</f>
        <v>-18.988945321123644</v>
      </c>
      <c r="G54" s="329" t="str">
        <f>InpActive!$F$15</f>
        <v>£m (2017-18 FYA CPIH prices)</v>
      </c>
      <c r="H54" s="327"/>
    </row>
    <row r="55" spans="1:8" s="2" customFormat="1" x14ac:dyDescent="0.35">
      <c r="A55" s="133"/>
      <c r="B55" s="133"/>
      <c r="C55" s="133"/>
      <c r="D55" s="133"/>
      <c r="E55" s="329" t="s">
        <v>292</v>
      </c>
      <c r="F55" s="330">
        <f t="shared" si="0"/>
        <v>-1.2331799999999999</v>
      </c>
      <c r="G55" s="329" t="str">
        <f>InpActive!$F$15</f>
        <v>£m (2017-18 FYA CPIH prices)</v>
      </c>
      <c r="H55" s="327"/>
    </row>
    <row r="56" spans="1:8" s="2" customFormat="1" x14ac:dyDescent="0.35">
      <c r="A56" s="133"/>
      <c r="B56" s="133"/>
      <c r="C56" s="133"/>
      <c r="D56" s="133"/>
      <c r="E56" s="329" t="s">
        <v>293</v>
      </c>
      <c r="F56" s="330">
        <f t="shared" si="0"/>
        <v>-17.272840000000002</v>
      </c>
      <c r="G56" s="329" t="str">
        <f>InpActive!$F$15</f>
        <v>£m (2017-18 FYA CPIH prices)</v>
      </c>
      <c r="H56" s="327"/>
    </row>
    <row r="57" spans="1:8" s="2" customFormat="1" x14ac:dyDescent="0.35">
      <c r="A57" s="133"/>
      <c r="B57" s="133"/>
      <c r="C57" s="133"/>
      <c r="D57" s="133"/>
      <c r="E57" s="329" t="s">
        <v>294</v>
      </c>
      <c r="F57" s="330">
        <f t="shared" si="0"/>
        <v>0</v>
      </c>
      <c r="G57" s="329" t="str">
        <f>InpActive!$F$15</f>
        <v>£m (2017-18 FYA CPIH prices)</v>
      </c>
      <c r="H57" s="327"/>
    </row>
    <row r="58" spans="1:8" s="2" customFormat="1" x14ac:dyDescent="0.35">
      <c r="A58" s="133"/>
      <c r="B58" s="133"/>
      <c r="C58" s="133"/>
      <c r="D58" s="133"/>
      <c r="E58" s="329" t="s">
        <v>295</v>
      </c>
      <c r="F58" s="135"/>
      <c r="G58" s="329" t="str">
        <f>InpActive!$F$15</f>
        <v>£m (2017-18 FYA CPIH prices)</v>
      </c>
      <c r="H58" s="330">
        <f>IF(F38&gt;0,IF(F49&lt;F38,F38-F49,0),F38)</f>
        <v>0</v>
      </c>
    </row>
    <row r="59" spans="1:8" s="2" customFormat="1" x14ac:dyDescent="0.35">
      <c r="A59" s="133"/>
      <c r="B59" s="133"/>
      <c r="C59" s="133"/>
      <c r="D59" s="133"/>
      <c r="E59" s="133"/>
      <c r="F59" s="135"/>
      <c r="G59" s="133"/>
      <c r="H59" s="257"/>
    </row>
    <row r="60" spans="1:8" s="224" customFormat="1" ht="13.5" x14ac:dyDescent="0.45">
      <c r="A60" s="224" t="s">
        <v>296</v>
      </c>
    </row>
    <row r="61" spans="1:8" s="2" customFormat="1" x14ac:dyDescent="0.35">
      <c r="A61" s="133"/>
      <c r="B61" s="133"/>
      <c r="C61" s="133"/>
      <c r="D61" s="133"/>
      <c r="E61" s="133"/>
      <c r="F61" s="135"/>
      <c r="G61" s="133"/>
      <c r="H61" s="257"/>
    </row>
    <row r="62" spans="1:8" s="2" customFormat="1" ht="13.15" x14ac:dyDescent="0.35">
      <c r="A62" s="133"/>
      <c r="B62" s="133"/>
      <c r="C62" s="137" t="s">
        <v>149</v>
      </c>
      <c r="D62" s="133"/>
      <c r="E62" s="133"/>
      <c r="F62" s="135"/>
      <c r="G62" s="133"/>
      <c r="H62" s="257"/>
    </row>
    <row r="63" spans="1:8" s="2" customFormat="1" x14ac:dyDescent="0.35">
      <c r="A63" s="133"/>
      <c r="B63" s="133"/>
      <c r="C63" s="133"/>
      <c r="D63" s="133"/>
      <c r="E63" s="133"/>
      <c r="F63" s="135"/>
      <c r="G63" s="133"/>
      <c r="H63" s="257"/>
    </row>
    <row r="64" spans="1:8" s="2" customFormat="1" x14ac:dyDescent="0.35">
      <c r="A64" s="133"/>
      <c r="B64" s="133"/>
      <c r="C64" s="133"/>
      <c r="D64" s="324" t="str">
        <f>InpActive!D55</f>
        <v>Voluntary deferrals</v>
      </c>
      <c r="E64" s="133"/>
      <c r="F64" s="135"/>
      <c r="G64" s="133"/>
      <c r="H64" s="257"/>
    </row>
    <row r="65" spans="1:8" s="2" customFormat="1" x14ac:dyDescent="0.35">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35">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35">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35">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35">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35">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35">
      <c r="A71" s="133"/>
      <c r="B71" s="133"/>
      <c r="C71" s="133"/>
      <c r="D71" s="133"/>
      <c r="E71" s="325" t="str">
        <f>InpActive!E62</f>
        <v>Voluntary deferrals - dummy control</v>
      </c>
      <c r="F71" s="326">
        <f>InpActive!F62</f>
        <v>0</v>
      </c>
      <c r="G71" s="325" t="str">
        <f>InpActive!G62</f>
        <v>£m (2017-18 FYA CPIH prices)</v>
      </c>
      <c r="H71" s="327"/>
    </row>
    <row r="72" spans="1:8" s="2" customFormat="1" x14ac:dyDescent="0.35">
      <c r="A72" s="133"/>
      <c r="B72" s="133"/>
      <c r="C72" s="133"/>
      <c r="D72" s="133"/>
      <c r="E72" s="133"/>
      <c r="F72" s="257"/>
      <c r="G72" s="133"/>
    </row>
    <row r="73" spans="1:8" s="2" customFormat="1" x14ac:dyDescent="0.35">
      <c r="A73" s="133"/>
      <c r="B73" s="133"/>
      <c r="C73" s="133"/>
      <c r="D73" s="324" t="s">
        <v>297</v>
      </c>
      <c r="E73" s="133"/>
      <c r="F73" s="257"/>
      <c r="G73" s="133"/>
    </row>
    <row r="74" spans="1:8" s="2" customFormat="1" x14ac:dyDescent="0.35">
      <c r="A74" s="133"/>
      <c r="B74" s="133"/>
      <c r="C74" s="133"/>
      <c r="D74" s="133"/>
      <c r="E74" s="329" t="s">
        <v>298</v>
      </c>
      <c r="F74" s="331">
        <f t="shared" ref="F74:F79" si="1">F52-F65</f>
        <v>-1.7776799999999999E-2</v>
      </c>
      <c r="G74" s="329" t="str">
        <f>InpActive!$F$15</f>
        <v>£m (2017-18 FYA CPIH prices)</v>
      </c>
      <c r="H74" s="327"/>
    </row>
    <row r="75" spans="1:8" s="2" customFormat="1" x14ac:dyDescent="0.35">
      <c r="A75" s="133"/>
      <c r="B75" s="133"/>
      <c r="C75" s="133"/>
      <c r="D75" s="133"/>
      <c r="E75" s="329" t="s">
        <v>299</v>
      </c>
      <c r="F75" s="331">
        <f t="shared" si="1"/>
        <v>-10.3271124672496</v>
      </c>
      <c r="G75" s="329" t="str">
        <f>InpActive!$F$15</f>
        <v>£m (2017-18 FYA CPIH prices)</v>
      </c>
      <c r="H75" s="327"/>
    </row>
    <row r="76" spans="1:8" s="2" customFormat="1" x14ac:dyDescent="0.35">
      <c r="A76" s="133"/>
      <c r="B76" s="133"/>
      <c r="C76" s="133"/>
      <c r="D76" s="133"/>
      <c r="E76" s="329" t="s">
        <v>300</v>
      </c>
      <c r="F76" s="331">
        <f t="shared" si="1"/>
        <v>-18.988945321123644</v>
      </c>
      <c r="G76" s="329" t="str">
        <f>InpActive!$F$15</f>
        <v>£m (2017-18 FYA CPIH prices)</v>
      </c>
      <c r="H76" s="327"/>
    </row>
    <row r="77" spans="1:8" s="2" customFormat="1" x14ac:dyDescent="0.35">
      <c r="A77" s="133"/>
      <c r="B77" s="133"/>
      <c r="C77" s="133"/>
      <c r="D77" s="133"/>
      <c r="E77" s="329" t="s">
        <v>301</v>
      </c>
      <c r="F77" s="331">
        <f t="shared" si="1"/>
        <v>-1.2331799999999999</v>
      </c>
      <c r="G77" s="329" t="str">
        <f>InpActive!$F$15</f>
        <v>£m (2017-18 FYA CPIH prices)</v>
      </c>
      <c r="H77" s="327"/>
    </row>
    <row r="78" spans="1:8" s="2" customFormat="1" x14ac:dyDescent="0.35">
      <c r="A78" s="133"/>
      <c r="B78" s="133"/>
      <c r="C78" s="133"/>
      <c r="D78" s="133"/>
      <c r="E78" s="329" t="s">
        <v>302</v>
      </c>
      <c r="F78" s="331">
        <f t="shared" si="1"/>
        <v>-17.272840000000002</v>
      </c>
      <c r="G78" s="329" t="str">
        <f>InpActive!$F$15</f>
        <v>£m (2017-18 FYA CPIH prices)</v>
      </c>
      <c r="H78" s="327"/>
    </row>
    <row r="79" spans="1:8" s="2" customFormat="1" x14ac:dyDescent="0.35">
      <c r="A79" s="133"/>
      <c r="B79" s="133"/>
      <c r="C79" s="133"/>
      <c r="D79" s="133"/>
      <c r="E79" s="329" t="s">
        <v>303</v>
      </c>
      <c r="F79" s="331">
        <f t="shared" si="1"/>
        <v>0</v>
      </c>
      <c r="G79" s="329" t="str">
        <f>InpActive!$F$15</f>
        <v>£m (2017-18 FYA CPIH prices)</v>
      </c>
      <c r="H79" s="327"/>
    </row>
    <row r="80" spans="1:8" s="2" customFormat="1" x14ac:dyDescent="0.35">
      <c r="A80" s="133"/>
      <c r="B80" s="133"/>
      <c r="C80" s="133"/>
      <c r="D80" s="133"/>
      <c r="E80" s="329" t="s">
        <v>304</v>
      </c>
      <c r="F80" s="331">
        <f>H58-F71</f>
        <v>0</v>
      </c>
      <c r="G80" s="329" t="str">
        <f>InpActive!$F$15</f>
        <v>£m (2017-18 FYA CPIH prices)</v>
      </c>
      <c r="H80" s="327"/>
    </row>
    <row r="81" spans="1:8" s="2" customFormat="1" x14ac:dyDescent="0.35">
      <c r="A81" s="133"/>
      <c r="B81" s="133"/>
      <c r="C81" s="133"/>
      <c r="D81" s="133"/>
      <c r="E81" s="133"/>
      <c r="F81" s="257"/>
      <c r="G81" s="133"/>
    </row>
    <row r="82" spans="1:8" s="2" customFormat="1" ht="13.15" x14ac:dyDescent="0.35">
      <c r="A82" s="133"/>
      <c r="B82" s="133"/>
      <c r="C82" s="137" t="s">
        <v>305</v>
      </c>
      <c r="D82" s="133"/>
      <c r="E82" s="133"/>
      <c r="F82" s="257"/>
      <c r="G82" s="133"/>
    </row>
    <row r="83" spans="1:8" s="2" customFormat="1" x14ac:dyDescent="0.35">
      <c r="A83" s="133"/>
      <c r="B83" s="133"/>
      <c r="C83" s="133"/>
      <c r="D83" s="133"/>
      <c r="E83" s="133"/>
      <c r="F83" s="257"/>
      <c r="G83" s="133"/>
    </row>
    <row r="84" spans="1:8" s="2" customFormat="1" x14ac:dyDescent="0.35">
      <c r="A84" s="133"/>
      <c r="B84" s="133"/>
      <c r="C84" s="133"/>
      <c r="D84" s="134" t="s">
        <v>306</v>
      </c>
      <c r="E84" s="133"/>
      <c r="F84" s="257"/>
      <c r="G84" s="133"/>
    </row>
    <row r="85" spans="1:8" s="2" customFormat="1" x14ac:dyDescent="0.35">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35">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35">
      <c r="A87" s="133"/>
      <c r="B87" s="133"/>
      <c r="C87" s="133"/>
      <c r="D87" s="133"/>
      <c r="E87" s="325" t="str">
        <f>InpActive!E81</f>
        <v>Years of delay for deferrals</v>
      </c>
      <c r="F87" s="333">
        <f>InpActive!F81</f>
        <v>1</v>
      </c>
      <c r="G87" s="325" t="str">
        <f>InpActive!G81</f>
        <v>Number</v>
      </c>
      <c r="H87" s="327"/>
    </row>
    <row r="88" spans="1:8" s="2" customFormat="1" x14ac:dyDescent="0.35">
      <c r="A88" s="133"/>
      <c r="B88" s="133"/>
      <c r="C88" s="133"/>
      <c r="D88" s="133"/>
      <c r="E88" s="133"/>
      <c r="F88" s="257"/>
      <c r="G88" s="133"/>
    </row>
    <row r="89" spans="1:8" s="2" customFormat="1" x14ac:dyDescent="0.35">
      <c r="A89" s="133"/>
      <c r="B89" s="133"/>
      <c r="C89" s="133"/>
      <c r="D89" s="324" t="s">
        <v>315</v>
      </c>
      <c r="E89" s="133"/>
      <c r="F89" s="257"/>
      <c r="G89" s="133"/>
    </row>
    <row r="90" spans="1:8" s="2" customFormat="1" x14ac:dyDescent="0.35">
      <c r="A90" s="133"/>
      <c r="B90" s="133"/>
      <c r="C90" s="133"/>
      <c r="D90" s="133"/>
      <c r="E90" s="329" t="s">
        <v>307</v>
      </c>
      <c r="F90" s="334">
        <f>F65*((1+F$85)^F$87)</f>
        <v>0</v>
      </c>
      <c r="G90" s="133"/>
      <c r="H90" s="327"/>
    </row>
    <row r="91" spans="1:8" s="2" customFormat="1" x14ac:dyDescent="0.35">
      <c r="A91" s="133"/>
      <c r="B91" s="133"/>
      <c r="C91" s="133"/>
      <c r="D91" s="133"/>
      <c r="E91" s="329" t="s">
        <v>308</v>
      </c>
      <c r="F91" s="334">
        <f>F66*((1+F$85)^F$87)</f>
        <v>0</v>
      </c>
      <c r="G91" s="133"/>
      <c r="H91" s="327"/>
    </row>
    <row r="92" spans="1:8" s="2" customFormat="1" x14ac:dyDescent="0.35">
      <c r="A92" s="133"/>
      <c r="B92" s="133"/>
      <c r="C92" s="133"/>
      <c r="D92" s="133"/>
      <c r="E92" s="329" t="s">
        <v>309</v>
      </c>
      <c r="F92" s="334">
        <f>F67*((1+F$85)^F$87)</f>
        <v>0</v>
      </c>
      <c r="G92" s="133"/>
      <c r="H92" s="327"/>
    </row>
    <row r="93" spans="1:8" s="2" customFormat="1" x14ac:dyDescent="0.35">
      <c r="A93" s="133"/>
      <c r="B93" s="133"/>
      <c r="C93" s="133"/>
      <c r="D93" s="133"/>
      <c r="E93" s="329" t="s">
        <v>310</v>
      </c>
      <c r="F93" s="334">
        <f>F68*((1+F$85)^F$87)</f>
        <v>0</v>
      </c>
      <c r="G93" s="133"/>
      <c r="H93" s="327"/>
    </row>
    <row r="94" spans="1:8" s="2" customFormat="1" x14ac:dyDescent="0.35">
      <c r="A94" s="133"/>
      <c r="B94" s="133"/>
      <c r="C94" s="133"/>
      <c r="D94" s="133"/>
      <c r="E94" s="329" t="s">
        <v>311</v>
      </c>
      <c r="F94" s="334">
        <f>F71*((1+F$85)^F$87)</f>
        <v>0</v>
      </c>
      <c r="G94" s="133"/>
      <c r="H94" s="327"/>
    </row>
    <row r="95" spans="1:8" s="2" customFormat="1" x14ac:dyDescent="0.35">
      <c r="A95" s="133"/>
      <c r="B95" s="133"/>
      <c r="C95" s="133"/>
      <c r="D95" s="133"/>
      <c r="E95" s="133"/>
      <c r="F95" s="257"/>
      <c r="G95" s="133"/>
    </row>
    <row r="96" spans="1:8" s="2" customFormat="1" x14ac:dyDescent="0.35">
      <c r="A96" s="133"/>
      <c r="B96" s="133"/>
      <c r="C96" s="133"/>
      <c r="D96" s="324" t="s">
        <v>312</v>
      </c>
      <c r="E96" s="133"/>
      <c r="F96" s="257"/>
      <c r="G96" s="133"/>
    </row>
    <row r="97" spans="1:9" s="2" customFormat="1" x14ac:dyDescent="0.35">
      <c r="A97" s="133"/>
      <c r="B97" s="133"/>
      <c r="C97" s="133"/>
      <c r="D97" s="133"/>
      <c r="E97" s="329" t="s">
        <v>313</v>
      </c>
      <c r="F97" s="331">
        <f>F69*((1+F$86)^F$87)</f>
        <v>0</v>
      </c>
      <c r="G97" s="133"/>
      <c r="H97" s="327"/>
    </row>
    <row r="98" spans="1:9" s="2" customFormat="1" x14ac:dyDescent="0.35">
      <c r="A98" s="133"/>
      <c r="B98" s="133"/>
      <c r="C98" s="133"/>
      <c r="D98" s="133"/>
      <c r="E98" s="329" t="s">
        <v>314</v>
      </c>
      <c r="F98" s="331">
        <f>F70*((1+F$86)^F$87)</f>
        <v>0</v>
      </c>
      <c r="G98" s="133"/>
      <c r="H98" s="327"/>
    </row>
    <row r="99" spans="1:9" s="2" customFormat="1" x14ac:dyDescent="0.35">
      <c r="A99" s="133"/>
      <c r="B99" s="133"/>
      <c r="C99" s="133"/>
      <c r="D99" s="133"/>
      <c r="E99" s="133"/>
      <c r="F99" s="257"/>
      <c r="G99" s="133"/>
    </row>
    <row r="100" spans="1:9" s="2" customFormat="1" x14ac:dyDescent="0.35">
      <c r="A100" s="133"/>
      <c r="B100" s="133"/>
      <c r="C100" s="133"/>
      <c r="D100" s="324" t="s">
        <v>412</v>
      </c>
      <c r="E100" s="133"/>
      <c r="F100" s="257"/>
      <c r="G100" s="133"/>
    </row>
    <row r="101" spans="1:9" s="2" customFormat="1" x14ac:dyDescent="0.35">
      <c r="A101" s="133"/>
      <c r="B101" s="133"/>
      <c r="C101" s="133"/>
      <c r="D101" s="133"/>
      <c r="E101" s="335" t="s">
        <v>307</v>
      </c>
      <c r="F101" s="336">
        <f>F90</f>
        <v>0</v>
      </c>
      <c r="G101" s="335" t="str">
        <f>InpActive!$F$15</f>
        <v>£m (2017-18 FYA CPIH prices)</v>
      </c>
      <c r="H101" s="327"/>
    </row>
    <row r="102" spans="1:9" s="2" customFormat="1" x14ac:dyDescent="0.35">
      <c r="A102" s="133"/>
      <c r="B102" s="133"/>
      <c r="C102" s="133"/>
      <c r="D102" s="133"/>
      <c r="E102" s="335" t="s">
        <v>308</v>
      </c>
      <c r="F102" s="336">
        <f>F91</f>
        <v>0</v>
      </c>
      <c r="G102" s="335" t="str">
        <f>InpActive!$F$15</f>
        <v>£m (2017-18 FYA CPIH prices)</v>
      </c>
      <c r="H102" s="327"/>
    </row>
    <row r="103" spans="1:9" s="2" customFormat="1" x14ac:dyDescent="0.35">
      <c r="A103" s="133"/>
      <c r="B103" s="133"/>
      <c r="C103" s="133"/>
      <c r="D103" s="133"/>
      <c r="E103" s="335" t="s">
        <v>309</v>
      </c>
      <c r="F103" s="336">
        <f>F92</f>
        <v>0</v>
      </c>
      <c r="G103" s="335" t="str">
        <f>InpActive!$F$15</f>
        <v>£m (2017-18 FYA CPIH prices)</v>
      </c>
      <c r="H103" s="327"/>
    </row>
    <row r="104" spans="1:9" s="2" customFormat="1" x14ac:dyDescent="0.35">
      <c r="A104" s="133"/>
      <c r="B104" s="133"/>
      <c r="C104" s="133"/>
      <c r="D104" s="133"/>
      <c r="E104" s="335" t="s">
        <v>310</v>
      </c>
      <c r="F104" s="336">
        <f>F93</f>
        <v>0</v>
      </c>
      <c r="G104" s="335" t="str">
        <f>InpActive!$F$15</f>
        <v>£m (2017-18 FYA CPIH prices)</v>
      </c>
      <c r="H104" s="327"/>
    </row>
    <row r="105" spans="1:9" s="2" customFormat="1" x14ac:dyDescent="0.35">
      <c r="A105" s="133"/>
      <c r="B105" s="133"/>
      <c r="C105" s="133"/>
      <c r="D105" s="133"/>
      <c r="E105" s="335" t="s">
        <v>313</v>
      </c>
      <c r="F105" s="336">
        <f>F97</f>
        <v>0</v>
      </c>
      <c r="G105" s="335" t="str">
        <f>InpActive!$F$15</f>
        <v>£m (2017-18 FYA CPIH prices)</v>
      </c>
      <c r="H105" s="327"/>
    </row>
    <row r="106" spans="1:9" s="2" customFormat="1" x14ac:dyDescent="0.35">
      <c r="A106" s="133"/>
      <c r="B106" s="133"/>
      <c r="C106" s="133"/>
      <c r="D106" s="133"/>
      <c r="E106" s="335" t="s">
        <v>314</v>
      </c>
      <c r="F106" s="336">
        <f>F98</f>
        <v>0</v>
      </c>
      <c r="G106" s="335" t="str">
        <f>InpActive!$F$15</f>
        <v>£m (2017-18 FYA CPIH prices)</v>
      </c>
      <c r="H106" s="327"/>
    </row>
    <row r="107" spans="1:9" s="2" customFormat="1" x14ac:dyDescent="0.35">
      <c r="A107" s="133"/>
      <c r="B107" s="133"/>
      <c r="C107" s="133"/>
      <c r="D107" s="133"/>
      <c r="E107" s="335" t="s">
        <v>311</v>
      </c>
      <c r="F107" s="336">
        <f>F94</f>
        <v>0</v>
      </c>
      <c r="G107" s="335" t="str">
        <f>InpActive!$F$15</f>
        <v>£m (2017-18 FYA CPIH prices)</v>
      </c>
      <c r="H107" s="327"/>
    </row>
    <row r="108" spans="1:9" s="87" customFormat="1" x14ac:dyDescent="0.35">
      <c r="A108" s="136"/>
      <c r="B108" s="136"/>
      <c r="C108" s="136"/>
      <c r="D108" s="136"/>
      <c r="E108" s="335" t="s">
        <v>645</v>
      </c>
      <c r="F108" s="336">
        <f xml:space="preserve"> SUM(F101:F107)</f>
        <v>0</v>
      </c>
      <c r="G108" s="335" t="s">
        <v>646</v>
      </c>
      <c r="H108" s="328"/>
    </row>
    <row r="109" spans="1:9" s="2" customFormat="1" x14ac:dyDescent="0.35">
      <c r="A109" s="133"/>
      <c r="B109" s="133"/>
      <c r="C109" s="133"/>
      <c r="D109" s="133"/>
      <c r="E109" s="133"/>
      <c r="F109" s="135"/>
      <c r="G109" s="133"/>
      <c r="H109" s="257"/>
    </row>
    <row r="110" spans="1:9" s="224" customFormat="1" ht="13.5" x14ac:dyDescent="0.45">
      <c r="A110" s="224" t="s">
        <v>694</v>
      </c>
    </row>
    <row r="111" spans="1:9" s="85" customFormat="1" x14ac:dyDescent="0.35">
      <c r="A111" s="82"/>
      <c r="B111" s="131"/>
      <c r="C111" s="131"/>
      <c r="D111" s="132"/>
      <c r="E111" s="83"/>
      <c r="F111" s="84"/>
      <c r="G111" s="83"/>
      <c r="H111" s="256"/>
      <c r="I111" s="86"/>
    </row>
    <row r="112" spans="1:9" s="85" customFormat="1" x14ac:dyDescent="0.35">
      <c r="A112" s="82"/>
      <c r="B112" s="131"/>
      <c r="C112" s="131"/>
      <c r="D112" s="281" t="s">
        <v>695</v>
      </c>
      <c r="E112" s="83"/>
      <c r="F112" s="84"/>
      <c r="G112" s="83"/>
      <c r="H112" s="256"/>
      <c r="I112" s="86"/>
    </row>
    <row r="113" spans="1:9" s="2" customFormat="1" x14ac:dyDescent="0.35">
      <c r="A113" s="133"/>
      <c r="B113" s="133"/>
      <c r="C113" s="133"/>
      <c r="D113" s="133"/>
      <c r="E113" s="325" t="str">
        <f>InpActive!E67</f>
        <v>Other bespoke adjustments - water resources</v>
      </c>
      <c r="F113" s="429">
        <f>InpActive!F67</f>
        <v>0</v>
      </c>
      <c r="G113" s="325" t="str">
        <f>InpActive!G67</f>
        <v>£m (2017-18 FYA CPIH prices)</v>
      </c>
      <c r="H113" s="327"/>
    </row>
    <row r="114" spans="1:9" s="2" customFormat="1" x14ac:dyDescent="0.35">
      <c r="A114" s="133"/>
      <c r="B114" s="133"/>
      <c r="C114" s="133"/>
      <c r="D114" s="133"/>
      <c r="E114" s="325" t="str">
        <f>InpActive!E68</f>
        <v>Other bespoke adjustments - water network plus</v>
      </c>
      <c r="F114" s="429">
        <f>InpActive!F68</f>
        <v>-5.3650000000000002</v>
      </c>
      <c r="G114" s="325" t="str">
        <f>InpActive!G68</f>
        <v>£m (2017-18 FYA CPIH prices)</v>
      </c>
      <c r="H114" s="327"/>
    </row>
    <row r="115" spans="1:9" s="2" customFormat="1" x14ac:dyDescent="0.35">
      <c r="A115" s="133"/>
      <c r="B115" s="133"/>
      <c r="C115" s="133"/>
      <c r="D115" s="133"/>
      <c r="E115" s="325" t="str">
        <f>InpActive!E69</f>
        <v>Other bespoke adjustments - wastewater network plus</v>
      </c>
      <c r="F115" s="429">
        <f>InpActive!F69</f>
        <v>0</v>
      </c>
      <c r="G115" s="325" t="str">
        <f>InpActive!G69</f>
        <v>£m (2017-18 FYA CPIH prices)</v>
      </c>
      <c r="H115" s="327"/>
    </row>
    <row r="116" spans="1:9" s="2" customFormat="1" x14ac:dyDescent="0.35">
      <c r="A116" s="133"/>
      <c r="B116" s="133"/>
      <c r="C116" s="133"/>
      <c r="D116" s="133"/>
      <c r="E116" s="325" t="str">
        <f>InpActive!E70</f>
        <v>Other bespoke adjustments - bioresources (sludge)</v>
      </c>
      <c r="F116" s="429">
        <f>InpActive!F70</f>
        <v>0</v>
      </c>
      <c r="G116" s="325" t="str">
        <f>InpActive!G70</f>
        <v>£m (2017-18 FYA CPIH prices)</v>
      </c>
      <c r="H116" s="327"/>
    </row>
    <row r="117" spans="1:9" s="2" customFormat="1" x14ac:dyDescent="0.35">
      <c r="A117" s="133"/>
      <c r="B117" s="133"/>
      <c r="C117" s="133"/>
      <c r="D117" s="133"/>
      <c r="E117" s="325" t="str">
        <f>InpActive!E71</f>
        <v>Other bespoke adjustments - residential retail</v>
      </c>
      <c r="F117" s="429">
        <f>InpActive!F71</f>
        <v>0</v>
      </c>
      <c r="G117" s="325" t="str">
        <f>InpActive!G71</f>
        <v>£m (2017-18 FYA CPIH prices)</v>
      </c>
      <c r="H117" s="327"/>
    </row>
    <row r="118" spans="1:9" s="2" customFormat="1" x14ac:dyDescent="0.35">
      <c r="A118" s="133"/>
      <c r="B118" s="133"/>
      <c r="C118" s="133"/>
      <c r="D118" s="133"/>
      <c r="E118" s="325" t="str">
        <f>InpActive!E72</f>
        <v>Other bespoke adjustments - business retail</v>
      </c>
      <c r="F118" s="429">
        <f>InpActive!F72</f>
        <v>0</v>
      </c>
      <c r="G118" s="325" t="str">
        <f>InpActive!G72</f>
        <v>£m (2017-18 FYA CPIH prices)</v>
      </c>
      <c r="H118" s="327"/>
    </row>
    <row r="119" spans="1:9" s="2" customFormat="1" x14ac:dyDescent="0.35">
      <c r="A119" s="133"/>
      <c r="B119" s="133"/>
      <c r="C119" s="133"/>
      <c r="D119" s="133"/>
      <c r="E119" s="325" t="str">
        <f>InpActive!E73</f>
        <v>Other bespoke adjustments - dummy control</v>
      </c>
      <c r="F119" s="429">
        <f>InpActive!F73</f>
        <v>0</v>
      </c>
      <c r="G119" s="325" t="str">
        <f>InpActive!G73</f>
        <v>£m (2017-18 FYA CPIH prices)</v>
      </c>
      <c r="H119" s="327"/>
    </row>
    <row r="120" spans="1:9" s="85" customFormat="1" x14ac:dyDescent="0.35">
      <c r="A120" s="82"/>
      <c r="B120" s="131"/>
      <c r="C120" s="131"/>
      <c r="D120" s="132"/>
      <c r="E120" s="83"/>
      <c r="F120" s="84"/>
      <c r="G120" s="83"/>
      <c r="H120" s="256"/>
      <c r="I120" s="86"/>
    </row>
    <row r="121" spans="1:9" s="2" customFormat="1" x14ac:dyDescent="0.35">
      <c r="A121" s="133"/>
      <c r="B121" s="133"/>
      <c r="C121" s="133"/>
      <c r="D121" s="281" t="s">
        <v>693</v>
      </c>
      <c r="E121" s="117"/>
      <c r="F121" s="117"/>
      <c r="G121" s="301"/>
      <c r="H121" s="259"/>
    </row>
    <row r="122" spans="1:9" s="2" customFormat="1" x14ac:dyDescent="0.35">
      <c r="A122" s="133"/>
      <c r="B122" s="133"/>
      <c r="C122" s="133"/>
      <c r="D122" s="281"/>
      <c r="E122" s="117" t="s">
        <v>685</v>
      </c>
      <c r="F122" s="431">
        <f>F74+F113</f>
        <v>-1.7776799999999999E-2</v>
      </c>
      <c r="G122" s="133" t="s">
        <v>646</v>
      </c>
      <c r="H122" s="259"/>
    </row>
    <row r="123" spans="1:9" s="2" customFormat="1" x14ac:dyDescent="0.35">
      <c r="A123" s="133"/>
      <c r="B123" s="133"/>
      <c r="C123" s="133"/>
      <c r="D123" s="281"/>
      <c r="E123" s="117" t="s">
        <v>686</v>
      </c>
      <c r="F123" s="430">
        <f t="shared" ref="F123:F128" si="2">F75+F114</f>
        <v>-15.692112467249601</v>
      </c>
      <c r="G123" s="133" t="s">
        <v>646</v>
      </c>
      <c r="H123" s="259"/>
    </row>
    <row r="124" spans="1:9" s="2" customFormat="1" x14ac:dyDescent="0.35">
      <c r="A124" s="133"/>
      <c r="B124" s="133"/>
      <c r="C124" s="133"/>
      <c r="D124" s="281"/>
      <c r="E124" s="117" t="s">
        <v>687</v>
      </c>
      <c r="F124" s="430">
        <f t="shared" si="2"/>
        <v>-18.988945321123644</v>
      </c>
      <c r="G124" s="133" t="s">
        <v>646</v>
      </c>
      <c r="H124" s="259"/>
    </row>
    <row r="125" spans="1:9" s="2" customFormat="1" x14ac:dyDescent="0.35">
      <c r="A125" s="133"/>
      <c r="B125" s="133"/>
      <c r="C125" s="133"/>
      <c r="D125" s="281"/>
      <c r="E125" s="117" t="s">
        <v>688</v>
      </c>
      <c r="F125" s="430">
        <f t="shared" si="2"/>
        <v>-1.2331799999999999</v>
      </c>
      <c r="G125" s="133" t="s">
        <v>646</v>
      </c>
      <c r="H125" s="259"/>
    </row>
    <row r="126" spans="1:9" s="2" customFormat="1" x14ac:dyDescent="0.35">
      <c r="A126" s="133"/>
      <c r="B126" s="133"/>
      <c r="C126" s="133"/>
      <c r="D126" s="281"/>
      <c r="E126" s="117" t="s">
        <v>689</v>
      </c>
      <c r="F126" s="430">
        <f t="shared" si="2"/>
        <v>-17.272840000000002</v>
      </c>
      <c r="G126" s="133" t="s">
        <v>646</v>
      </c>
      <c r="H126" s="259"/>
    </row>
    <row r="127" spans="1:9" s="2" customFormat="1" x14ac:dyDescent="0.35">
      <c r="A127" s="133"/>
      <c r="B127" s="133"/>
      <c r="C127" s="133"/>
      <c r="D127" s="281"/>
      <c r="E127" s="117" t="s">
        <v>690</v>
      </c>
      <c r="F127" s="430">
        <f t="shared" si="2"/>
        <v>0</v>
      </c>
      <c r="G127" s="133" t="s">
        <v>646</v>
      </c>
      <c r="H127" s="259"/>
    </row>
    <row r="128" spans="1:9" s="2" customFormat="1" x14ac:dyDescent="0.35">
      <c r="A128" s="133"/>
      <c r="B128" s="133"/>
      <c r="C128" s="133"/>
      <c r="D128" s="281"/>
      <c r="E128" s="117" t="s">
        <v>691</v>
      </c>
      <c r="F128" s="430">
        <f t="shared" si="2"/>
        <v>0</v>
      </c>
      <c r="G128" s="133" t="s">
        <v>646</v>
      </c>
      <c r="H128" s="259"/>
    </row>
    <row r="129" spans="1:9" s="85" customFormat="1" x14ac:dyDescent="0.35">
      <c r="A129" s="82"/>
      <c r="B129" s="131"/>
      <c r="C129" s="131"/>
      <c r="D129" s="132"/>
      <c r="E129" s="83"/>
      <c r="F129" s="84"/>
      <c r="G129" s="83"/>
      <c r="H129" s="256"/>
      <c r="I129" s="86"/>
    </row>
    <row r="130" spans="1:9" s="224" customFormat="1" ht="13.5" x14ac:dyDescent="0.45">
      <c r="A130" s="224" t="s">
        <v>684</v>
      </c>
    </row>
    <row r="131" spans="1:9" s="2" customFormat="1" ht="13.15" x14ac:dyDescent="0.35">
      <c r="A131" s="133"/>
      <c r="B131" s="133"/>
      <c r="C131" s="137"/>
      <c r="D131" s="133"/>
      <c r="E131" s="133"/>
      <c r="F131" s="135"/>
      <c r="G131" s="133"/>
      <c r="H131" s="257"/>
    </row>
    <row r="132" spans="1:9" s="2" customFormat="1" x14ac:dyDescent="0.35">
      <c r="A132" s="133"/>
      <c r="B132" s="133"/>
      <c r="C132" s="133"/>
      <c r="D132" s="281" t="s">
        <v>693</v>
      </c>
      <c r="E132" s="117"/>
      <c r="F132" s="117"/>
      <c r="G132" s="301"/>
      <c r="H132" s="259"/>
    </row>
    <row r="133" spans="1:9" s="87" customFormat="1" x14ac:dyDescent="0.35">
      <c r="A133" s="136"/>
      <c r="B133" s="136"/>
      <c r="C133" s="136"/>
      <c r="D133" s="395"/>
      <c r="E133" s="335" t="s">
        <v>685</v>
      </c>
      <c r="F133" s="396">
        <f>F122</f>
        <v>-1.7776799999999999E-2</v>
      </c>
      <c r="G133" s="116" t="str">
        <f t="shared" ref="G133:G139" si="3">G74</f>
        <v>£m (2017-18 FYA CPIH prices)</v>
      </c>
      <c r="H133" s="328"/>
    </row>
    <row r="134" spans="1:9" s="87" customFormat="1" x14ac:dyDescent="0.35">
      <c r="A134" s="136"/>
      <c r="B134" s="136"/>
      <c r="C134" s="136"/>
      <c r="D134" s="395"/>
      <c r="E134" s="335" t="s">
        <v>686</v>
      </c>
      <c r="F134" s="396">
        <f t="shared" ref="F134:F139" si="4">F123</f>
        <v>-15.692112467249601</v>
      </c>
      <c r="G134" s="116" t="str">
        <f t="shared" si="3"/>
        <v>£m (2017-18 FYA CPIH prices)</v>
      </c>
      <c r="H134" s="328"/>
    </row>
    <row r="135" spans="1:9" s="87" customFormat="1" x14ac:dyDescent="0.35">
      <c r="A135" s="136"/>
      <c r="B135" s="136"/>
      <c r="C135" s="136"/>
      <c r="D135" s="395"/>
      <c r="E135" s="335" t="s">
        <v>687</v>
      </c>
      <c r="F135" s="396">
        <f t="shared" si="4"/>
        <v>-18.988945321123644</v>
      </c>
      <c r="G135" s="116" t="str">
        <f t="shared" si="3"/>
        <v>£m (2017-18 FYA CPIH prices)</v>
      </c>
      <c r="H135" s="328"/>
    </row>
    <row r="136" spans="1:9" s="87" customFormat="1" x14ac:dyDescent="0.35">
      <c r="A136" s="136"/>
      <c r="B136" s="136"/>
      <c r="C136" s="136"/>
      <c r="D136" s="395"/>
      <c r="E136" s="335" t="s">
        <v>688</v>
      </c>
      <c r="F136" s="396">
        <f t="shared" si="4"/>
        <v>-1.2331799999999999</v>
      </c>
      <c r="G136" s="116" t="str">
        <f t="shared" si="3"/>
        <v>£m (2017-18 FYA CPIH prices)</v>
      </c>
      <c r="H136" s="328"/>
    </row>
    <row r="137" spans="1:9" s="87" customFormat="1" x14ac:dyDescent="0.35">
      <c r="A137" s="136"/>
      <c r="B137" s="136"/>
      <c r="C137" s="136"/>
      <c r="D137" s="395"/>
      <c r="E137" s="335" t="s">
        <v>689</v>
      </c>
      <c r="F137" s="396">
        <f t="shared" si="4"/>
        <v>-17.272840000000002</v>
      </c>
      <c r="G137" s="116" t="str">
        <f t="shared" si="3"/>
        <v>£m (2017-18 FYA CPIH prices)</v>
      </c>
      <c r="H137" s="328"/>
    </row>
    <row r="138" spans="1:9" s="87" customFormat="1" x14ac:dyDescent="0.35">
      <c r="A138" s="136"/>
      <c r="B138" s="136"/>
      <c r="C138" s="136"/>
      <c r="D138" s="395"/>
      <c r="E138" s="335" t="s">
        <v>690</v>
      </c>
      <c r="F138" s="396">
        <f t="shared" si="4"/>
        <v>0</v>
      </c>
      <c r="G138" s="116" t="str">
        <f t="shared" si="3"/>
        <v>£m (2017-18 FYA CPIH prices)</v>
      </c>
      <c r="H138" s="328"/>
    </row>
    <row r="139" spans="1:9" s="87" customFormat="1" x14ac:dyDescent="0.35">
      <c r="A139" s="136"/>
      <c r="B139" s="136"/>
      <c r="C139" s="136"/>
      <c r="D139" s="395"/>
      <c r="E139" s="335" t="s">
        <v>691</v>
      </c>
      <c r="F139" s="396">
        <f t="shared" si="4"/>
        <v>0</v>
      </c>
      <c r="G139" s="116" t="str">
        <f t="shared" si="3"/>
        <v>£m (2017-18 FYA CPIH prices)</v>
      </c>
      <c r="H139" s="328"/>
    </row>
    <row r="140" spans="1:9" s="408" customFormat="1" x14ac:dyDescent="0.35">
      <c r="A140" s="404"/>
      <c r="B140" s="404"/>
      <c r="C140" s="404"/>
      <c r="D140" s="404"/>
      <c r="E140" s="405" t="s">
        <v>692</v>
      </c>
      <c r="F140" s="406">
        <f xml:space="preserve"> SUM(F133:F139)</f>
        <v>-53.204854588373244</v>
      </c>
      <c r="G140" s="405" t="s">
        <v>646</v>
      </c>
      <c r="H140" s="407"/>
    </row>
    <row r="141" spans="1:9" x14ac:dyDescent="0.35"/>
    <row r="142" spans="1:9" s="223" customFormat="1" ht="13.5" x14ac:dyDescent="0.45">
      <c r="A142" s="223" t="s">
        <v>221</v>
      </c>
    </row>
    <row r="143" spans="1:9" x14ac:dyDescent="0.35"/>
    <row r="144" spans="1:9" x14ac:dyDescent="0.35"/>
    <row r="145" x14ac:dyDescent="0.35"/>
    <row r="146" x14ac:dyDescent="0.35"/>
    <row r="147" x14ac:dyDescent="0.35"/>
    <row r="148" x14ac:dyDescent="0.35"/>
    <row r="149" x14ac:dyDescent="0.35"/>
    <row r="150" x14ac:dyDescent="0.35"/>
    <row r="151" x14ac:dyDescent="0.35"/>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resources</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s="166" customFormat="1" ht="13.15" x14ac:dyDescent="0.35">
      <c r="A8" s="167"/>
      <c r="B8" s="168"/>
      <c r="C8" s="169"/>
    </row>
    <row r="9" spans="1:20" s="166" customFormat="1" ht="13.15" x14ac:dyDescent="0.35">
      <c r="A9" s="167"/>
      <c r="B9" s="168" t="s">
        <v>317</v>
      </c>
      <c r="C9" s="169"/>
    </row>
    <row r="10" spans="1:20" s="319" customFormat="1" ht="13.15" x14ac:dyDescent="0.35">
      <c r="A10" s="373"/>
      <c r="B10" s="374"/>
      <c r="E10" s="319" t="str">
        <f xml:space="preserve"> 'Abatements and deferrals'!E$133</f>
        <v>Payments after abatements and deferrals and other bespoke adjustments - water resources</v>
      </c>
      <c r="F10" s="319">
        <f xml:space="preserve"> 'Abatements and deferrals'!F$133</f>
        <v>-1.7776799999999999E-2</v>
      </c>
      <c r="G10" s="319" t="str">
        <f xml:space="preserve"> 'Abatements and deferrals'!G$133</f>
        <v>£m (2017-18 FYA CPIH prices)</v>
      </c>
      <c r="H10" s="319">
        <f xml:space="preserve"> 'Abatements and deferrals'!H$133</f>
        <v>0</v>
      </c>
      <c r="I10" s="319">
        <f xml:space="preserve"> 'Abatements and deferrals'!I$133</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-1.7776799999999999E-2</v>
      </c>
      <c r="R20" s="315">
        <f t="shared" si="2"/>
        <v>0</v>
      </c>
      <c r="S20" s="315">
        <f t="shared" si="2"/>
        <v>0</v>
      </c>
      <c r="T20" s="315">
        <f t="shared" si="2"/>
        <v>0</v>
      </c>
    </row>
    <row r="21" spans="1:20" s="166" customFormat="1" ht="13.15" x14ac:dyDescent="0.35">
      <c r="A21" s="167"/>
      <c r="B21" s="168"/>
      <c r="C21" s="169"/>
    </row>
    <row r="22" spans="1:20" s="224" customFormat="1" ht="13.5" x14ac:dyDescent="0.45">
      <c r="A22" s="224" t="s">
        <v>322</v>
      </c>
    </row>
    <row r="23" spans="1:20" s="166" customFormat="1" ht="13.15" x14ac:dyDescent="0.35">
      <c r="A23" s="167"/>
      <c r="B23" s="168"/>
      <c r="C23" s="169"/>
    </row>
    <row r="24" spans="1:20" s="166" customFormat="1" ht="13.15" x14ac:dyDescent="0.35">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89.768007721145906</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ht="13.15" x14ac:dyDescent="0.35">
      <c r="A25" s="167"/>
      <c r="B25" s="168"/>
      <c r="E25" s="166" t="str">
        <f xml:space="preserve"> E24</f>
        <v>Allowed revenue starting point in FD - water resources</v>
      </c>
      <c r="H25" s="166">
        <f xml:space="preserve"> SUM( J24:T24 )</f>
        <v>89.768007721145906</v>
      </c>
      <c r="I25" s="172"/>
      <c r="J25" s="172"/>
      <c r="K25" s="172"/>
      <c r="L25" s="172"/>
      <c r="M25" s="172"/>
      <c r="N25" s="172"/>
      <c r="O25" s="172"/>
      <c r="P25" s="172"/>
      <c r="Q25" s="172"/>
      <c r="R25" s="172"/>
      <c r="S25" s="172"/>
      <c r="T25" s="172"/>
    </row>
    <row r="26" spans="1:20" s="166" customFormat="1" ht="13.15" x14ac:dyDescent="0.35">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ht="13.15" x14ac:dyDescent="0.35">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3.9</v>
      </c>
      <c r="Q27" s="319">
        <f xml:space="preserve"> InpActive!Q$106</f>
        <v>-1</v>
      </c>
      <c r="R27" s="319">
        <f xml:space="preserve"> InpActive!R$106</f>
        <v>0.67</v>
      </c>
      <c r="S27" s="319">
        <f xml:space="preserve"> InpActive!S$106</f>
        <v>3.51</v>
      </c>
      <c r="T27" s="319">
        <f xml:space="preserve"> InpActive!T$106</f>
        <v>0</v>
      </c>
    </row>
    <row r="28" spans="1:20" s="166" customFormat="1" ht="13.15" x14ac:dyDescent="0.35">
      <c r="A28" s="167"/>
      <c r="B28" s="168"/>
      <c r="E28" s="237" t="s">
        <v>323</v>
      </c>
      <c r="F28" s="237"/>
      <c r="G28" s="237" t="s">
        <v>160</v>
      </c>
      <c r="H28" s="237"/>
      <c r="I28" s="237"/>
      <c r="J28" s="212">
        <f>J27/100</f>
        <v>0</v>
      </c>
      <c r="K28" s="212">
        <f t="shared" ref="K28:T28" si="3">K27/100</f>
        <v>0</v>
      </c>
      <c r="L28" s="212">
        <f t="shared" si="3"/>
        <v>0</v>
      </c>
      <c r="M28" s="212">
        <f t="shared" si="3"/>
        <v>0</v>
      </c>
      <c r="N28" s="212">
        <f t="shared" si="3"/>
        <v>0</v>
      </c>
      <c r="O28" s="212">
        <f t="shared" si="3"/>
        <v>0</v>
      </c>
      <c r="P28" s="212">
        <f t="shared" si="3"/>
        <v>3.9E-2</v>
      </c>
      <c r="Q28" s="212">
        <f t="shared" si="3"/>
        <v>-0.01</v>
      </c>
      <c r="R28" s="212">
        <f t="shared" si="3"/>
        <v>6.7000000000000002E-3</v>
      </c>
      <c r="S28" s="212">
        <f t="shared" si="3"/>
        <v>3.5099999999999999E-2</v>
      </c>
      <c r="T28" s="212">
        <f t="shared" si="3"/>
        <v>0</v>
      </c>
    </row>
    <row r="29" spans="1:20" s="172" customFormat="1" ht="13.15" x14ac:dyDescent="0.35">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20" s="166" customFormat="1" ht="13.15" x14ac:dyDescent="0.35">
      <c r="A30" s="167"/>
      <c r="B30" s="168"/>
      <c r="E30" s="166" t="s">
        <v>324</v>
      </c>
      <c r="G30" s="166" t="s">
        <v>182</v>
      </c>
      <c r="H30" s="166">
        <f xml:space="preserve"> SUM( J30:T30 )</f>
        <v>584.19031164429941</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91.111588753454924</v>
      </c>
      <c r="P30" s="166">
        <f xml:space="preserve"> IF(P26=1, $H25 * (1+P29+P28), O30 *  (1+P29+P28))</f>
        <v>95.168783601955525</v>
      </c>
      <c r="Q30" s="166">
        <f xml:space="preserve"> IF(Q26=1, $H25 * (1+Q29+Q28), P30 *  (1+Q29+Q28))</f>
        <v>97.270173150050027</v>
      </c>
      <c r="R30" s="166">
        <f t="shared" si="4"/>
        <v>97.921883310155351</v>
      </c>
      <c r="S30" s="166">
        <f t="shared" si="4"/>
        <v>101.3589414143418</v>
      </c>
      <c r="T30" s="166">
        <f t="shared" si="4"/>
        <v>101.3589414143418</v>
      </c>
    </row>
    <row r="31" spans="1:20" s="166" customFormat="1" ht="13.15" x14ac:dyDescent="0.35">
      <c r="A31" s="167"/>
      <c r="B31" s="168"/>
      <c r="C31" s="1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-1.7776799999999999E-2</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-1.9662747347740667E-2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-1.9662747347740667E-2</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-1.9662747347740667E-2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-1.9662747347740667E-2</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-4.6122493778650931E-3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-4.6122493778650931E-3</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-1.9662747347740667E-2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-1.9662747347740667E-2</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-4.6122493778650931E-3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-4.6122493778650931E-3</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-2.427499672560576E-2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-2.427499672560576E-2</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584.19031164429941</v>
      </c>
      <c r="I49" s="166">
        <f t="shared" si="14"/>
        <v>0</v>
      </c>
      <c r="J49" s="174">
        <f t="shared" si="14"/>
        <v>0</v>
      </c>
      <c r="K49" s="174">
        <f t="shared" si="14"/>
        <v>0</v>
      </c>
      <c r="L49" s="174">
        <f t="shared" si="14"/>
        <v>0</v>
      </c>
      <c r="M49" s="174">
        <f t="shared" si="14"/>
        <v>0</v>
      </c>
      <c r="N49" s="174">
        <f t="shared" si="14"/>
        <v>0</v>
      </c>
      <c r="O49" s="174">
        <f t="shared" si="14"/>
        <v>91.111588753454924</v>
      </c>
      <c r="P49" s="174">
        <f t="shared" si="14"/>
        <v>95.168783601955525</v>
      </c>
      <c r="Q49" s="174">
        <f t="shared" si="14"/>
        <v>97.270173150050027</v>
      </c>
      <c r="R49" s="174">
        <f t="shared" si="14"/>
        <v>97.921883310155351</v>
      </c>
      <c r="S49" s="174">
        <f t="shared" si="14"/>
        <v>101.3589414143418</v>
      </c>
      <c r="T49" s="174">
        <f t="shared" si="14"/>
        <v>101.3589414143418</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-2.427499672560576E-2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-2.427499672560576E-2</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584.16603664757383</v>
      </c>
      <c r="J51" s="174">
        <f xml:space="preserve"> J49 + J50</f>
        <v>0</v>
      </c>
      <c r="K51" s="174">
        <f t="shared" ref="K51:T51" si="16" xml:space="preserve"> K49 + K50</f>
        <v>0</v>
      </c>
      <c r="L51" s="174">
        <f t="shared" si="16"/>
        <v>0</v>
      </c>
      <c r="M51" s="174">
        <f t="shared" si="16"/>
        <v>0</v>
      </c>
      <c r="N51" s="174">
        <f t="shared" si="16"/>
        <v>0</v>
      </c>
      <c r="O51" s="174">
        <f t="shared" si="16"/>
        <v>91.111588753454924</v>
      </c>
      <c r="P51" s="174">
        <f t="shared" si="16"/>
        <v>95.168783601955525</v>
      </c>
      <c r="Q51" s="174">
        <f t="shared" si="16"/>
        <v>97.245898153324418</v>
      </c>
      <c r="R51" s="174">
        <f t="shared" si="16"/>
        <v>97.921883310155351</v>
      </c>
      <c r="S51" s="174">
        <f t="shared" si="16"/>
        <v>101.3589414143418</v>
      </c>
      <c r="T51" s="174">
        <f t="shared" si="16"/>
        <v>101.3589414143418</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584.16603664757383</v>
      </c>
      <c r="I54" s="166">
        <f t="shared" si="17"/>
        <v>0</v>
      </c>
      <c r="J54" s="166">
        <f t="shared" si="17"/>
        <v>0</v>
      </c>
      <c r="K54" s="166">
        <f t="shared" si="17"/>
        <v>0</v>
      </c>
      <c r="L54" s="166">
        <f t="shared" si="17"/>
        <v>0</v>
      </c>
      <c r="M54" s="166">
        <f t="shared" si="17"/>
        <v>0</v>
      </c>
      <c r="N54" s="166">
        <f t="shared" si="17"/>
        <v>0</v>
      </c>
      <c r="O54" s="166">
        <f t="shared" si="17"/>
        <v>91.111588753454924</v>
      </c>
      <c r="P54" s="166">
        <f t="shared" si="17"/>
        <v>95.168783601955525</v>
      </c>
      <c r="Q54" s="166">
        <f t="shared" si="17"/>
        <v>97.245898153324418</v>
      </c>
      <c r="R54" s="166">
        <f t="shared" si="17"/>
        <v>97.921883310155351</v>
      </c>
      <c r="S54" s="166">
        <f t="shared" si="17"/>
        <v>101.3589414143418</v>
      </c>
      <c r="T54" s="166">
        <f t="shared" si="17"/>
        <v>101.3589414143418</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4.4529953917050502E-2</v>
      </c>
      <c r="Q55" s="210">
        <f t="shared" si="18"/>
        <v>2.1825586844279155E-2</v>
      </c>
      <c r="R55" s="210">
        <f t="shared" si="18"/>
        <v>6.9512973777581255E-3</v>
      </c>
      <c r="S55" s="210">
        <f t="shared" si="18"/>
        <v>3.5099999999999909E-2</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4.4529953917050502E-2</v>
      </c>
      <c r="Q60" s="212">
        <f t="shared" si="21"/>
        <v>2.1825586844279155E-2</v>
      </c>
      <c r="R60" s="212">
        <f t="shared" si="21"/>
        <v>6.9512973777581255E-3</v>
      </c>
      <c r="S60" s="212">
        <f t="shared" si="21"/>
        <v>3.5099999999999909E-2</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-1.0255073100725376E-2</v>
      </c>
      <c r="R63" s="210">
        <f t="shared" si="23"/>
        <v>6.9512973777581255E-3</v>
      </c>
      <c r="S63" s="210">
        <f t="shared" si="23"/>
        <v>3.5099999999999909E-2</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-1.0255073100725376E-2</v>
      </c>
      <c r="R65" s="212">
        <f t="shared" si="24"/>
        <v>6.9512973777581255E-3</v>
      </c>
      <c r="S65" s="212">
        <f t="shared" si="24"/>
        <v>3.5099999999999909E-2</v>
      </c>
      <c r="T65" s="212">
        <f t="shared" si="24"/>
        <v>0</v>
      </c>
    </row>
    <row r="66" spans="1:20" s="166" customFormat="1" ht="13.15" x14ac:dyDescent="0.35">
      <c r="A66" s="167"/>
      <c r="B66" s="168"/>
      <c r="E66" s="338" t="s">
        <v>335</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3.9E-2</v>
      </c>
      <c r="Q66" s="284">
        <f t="shared" si="25"/>
        <v>-1.0200000000000001E-2</v>
      </c>
      <c r="R66" s="284">
        <f t="shared" si="25"/>
        <v>7.0000000000000001E-3</v>
      </c>
      <c r="S66" s="284">
        <f t="shared" si="25"/>
        <v>3.5100000000000006E-2</v>
      </c>
      <c r="T66" s="284">
        <f t="shared" si="25"/>
        <v>0</v>
      </c>
    </row>
    <row r="67" spans="1:20" s="190" customFormat="1" ht="13.15" x14ac:dyDescent="0.35">
      <c r="A67" s="188"/>
      <c r="B67" s="189"/>
      <c r="E67" s="339" t="s">
        <v>335</v>
      </c>
      <c r="G67" s="238" t="s">
        <v>163</v>
      </c>
      <c r="H67" s="191"/>
      <c r="I67" s="191"/>
      <c r="J67" s="190">
        <f>J66*100</f>
        <v>0</v>
      </c>
      <c r="K67" s="190">
        <f t="shared" ref="K67:T67" si="26">K66*100</f>
        <v>0</v>
      </c>
      <c r="L67" s="190">
        <f t="shared" si="26"/>
        <v>0</v>
      </c>
      <c r="M67" s="190">
        <f t="shared" si="26"/>
        <v>0</v>
      </c>
      <c r="N67" s="190">
        <f t="shared" si="26"/>
        <v>0</v>
      </c>
      <c r="O67" s="190">
        <f t="shared" si="26"/>
        <v>0</v>
      </c>
      <c r="P67" s="190">
        <f t="shared" si="26"/>
        <v>3.9</v>
      </c>
      <c r="Q67" s="190">
        <f t="shared" si="26"/>
        <v>-1.02</v>
      </c>
      <c r="R67" s="190">
        <f t="shared" si="26"/>
        <v>0.70000000000000007</v>
      </c>
      <c r="S67" s="190">
        <f t="shared" si="26"/>
        <v>3.5100000000000007</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network plus</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deferrals'!E$134</f>
        <v>Payments after abatements and deferrals and other bespoke adjustments - water network plus</v>
      </c>
      <c r="F10" s="319">
        <f xml:space="preserve"> 'Abatements and deferrals'!F$134</f>
        <v>-15.692112467249601</v>
      </c>
      <c r="G10" s="319" t="str">
        <f xml:space="preserve"> 'Abatements and deferrals'!G$134</f>
        <v>£m (2017-18 FYA CPIH prices)</v>
      </c>
      <c r="H10" s="319">
        <f xml:space="preserve"> 'Abatements and deferrals'!H$134</f>
        <v>0</v>
      </c>
      <c r="I10" s="319">
        <f xml:space="preserve"> 'Abatements and deferrals'!I$134</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-15.692112467249601</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A23" s="167"/>
      <c r="B23" s="168"/>
      <c r="C23" s="169"/>
      <c r="D23" s="166"/>
      <c r="E23" s="166"/>
      <c r="F23" s="166"/>
      <c r="G23" s="166"/>
      <c r="H23" s="166"/>
      <c r="I23" s="166"/>
      <c r="J23" s="166"/>
      <c r="K23" s="166"/>
      <c r="L23" s="166"/>
      <c r="M23" s="166"/>
      <c r="N23" s="166"/>
      <c r="O23" s="166"/>
      <c r="P23" s="166"/>
      <c r="Q23" s="166"/>
      <c r="R23" s="166"/>
      <c r="S23" s="166"/>
      <c r="T23" s="166"/>
    </row>
    <row r="24" spans="1:20" ht="13.15" x14ac:dyDescent="0.35">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820.81826854005897</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ht="13.15" x14ac:dyDescent="0.35">
      <c r="A25" s="167"/>
      <c r="B25" s="168"/>
      <c r="C25" s="166"/>
      <c r="D25" s="166"/>
      <c r="E25" s="166" t="str">
        <f>E24</f>
        <v>Allowed revenue starting point in FD - water network plus</v>
      </c>
      <c r="F25" s="166"/>
      <c r="G25" s="166"/>
      <c r="H25" s="271">
        <f xml:space="preserve"> SUM( J24:T24 )</f>
        <v>820.81826854005897</v>
      </c>
      <c r="I25" s="172"/>
      <c r="J25" s="172"/>
      <c r="K25" s="172"/>
      <c r="L25" s="172"/>
      <c r="M25" s="172"/>
      <c r="N25" s="172"/>
      <c r="O25" s="172"/>
      <c r="P25" s="172"/>
      <c r="Q25" s="172"/>
      <c r="R25" s="172"/>
      <c r="S25" s="172"/>
      <c r="T25" s="172"/>
    </row>
    <row r="26" spans="1:20" s="93" customFormat="1" ht="13.15" x14ac:dyDescent="0.35">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ht="13.15" x14ac:dyDescent="0.35">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7.44</v>
      </c>
      <c r="Q27" s="319">
        <f xml:space="preserve"> InpActive!Q$110</f>
        <v>0.04</v>
      </c>
      <c r="R27" s="319">
        <f xml:space="preserve"> InpActive!R$110</f>
        <v>1.3</v>
      </c>
      <c r="S27" s="319">
        <f xml:space="preserve"> InpActive!S$110</f>
        <v>0.22</v>
      </c>
      <c r="T27" s="319">
        <f xml:space="preserve"> InpActive!T$110</f>
        <v>0</v>
      </c>
    </row>
    <row r="28" spans="1:20" ht="13.15" x14ac:dyDescent="0.35">
      <c r="A28" s="167"/>
      <c r="B28" s="168"/>
      <c r="C28" s="166"/>
      <c r="D28" s="166"/>
      <c r="E28" s="237" t="s">
        <v>323</v>
      </c>
      <c r="F28" s="237"/>
      <c r="G28" s="237" t="s">
        <v>160</v>
      </c>
      <c r="H28" s="237"/>
      <c r="I28" s="237"/>
      <c r="J28" s="237">
        <f>J27/100</f>
        <v>0</v>
      </c>
      <c r="K28" s="237">
        <f t="shared" ref="K28:T28" si="3">K27/100</f>
        <v>0</v>
      </c>
      <c r="L28" s="237">
        <f t="shared" si="3"/>
        <v>0</v>
      </c>
      <c r="M28" s="237">
        <f t="shared" si="3"/>
        <v>0</v>
      </c>
      <c r="N28" s="237">
        <f t="shared" si="3"/>
        <v>0</v>
      </c>
      <c r="O28" s="272">
        <f t="shared" si="3"/>
        <v>0</v>
      </c>
      <c r="P28" s="237">
        <f t="shared" si="3"/>
        <v>7.4400000000000008E-2</v>
      </c>
      <c r="Q28" s="237">
        <f t="shared" si="3"/>
        <v>4.0000000000000002E-4</v>
      </c>
      <c r="R28" s="237">
        <f t="shared" si="3"/>
        <v>1.3000000000000001E-2</v>
      </c>
      <c r="S28" s="237">
        <f t="shared" si="3"/>
        <v>2.2000000000000001E-3</v>
      </c>
      <c r="T28" s="237">
        <f t="shared" si="3"/>
        <v>0</v>
      </c>
    </row>
    <row r="29" spans="1:20" s="91" customFormat="1" ht="13.15" x14ac:dyDescent="0.35">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67"/>
      <c r="B30" s="168"/>
      <c r="C30" s="166"/>
      <c r="D30" s="166"/>
      <c r="E30" s="166" t="s">
        <v>324</v>
      </c>
      <c r="F30" s="166"/>
      <c r="G30" s="166" t="s">
        <v>182</v>
      </c>
      <c r="H30" s="166">
        <f xml:space="preserve"> SUM( J30:T30 )</f>
        <v>5488.8303660692454</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833.10366825628057</v>
      </c>
      <c r="P30" s="166">
        <f xml:space="preserve"> IF(P26=1, $H25 * (1+P29+P28), O30 *  (1+P29+P28))</f>
        <v>899.69360606813086</v>
      </c>
      <c r="Q30" s="166">
        <f t="shared" si="4"/>
        <v>928.91624814152465</v>
      </c>
      <c r="R30" s="166">
        <f t="shared" si="4"/>
        <v>940.99215936736437</v>
      </c>
      <c r="S30" s="166">
        <f t="shared" si="4"/>
        <v>943.06234211797255</v>
      </c>
      <c r="T30" s="166">
        <f t="shared" si="4"/>
        <v>943.06234211797255</v>
      </c>
    </row>
    <row r="31" spans="1:20" ht="13.15" x14ac:dyDescent="0.35">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-15.692112467249601</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-17.356894536466651</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-17.356894536466651</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-17.356894536466651</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-17.356894536466651</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-4.0713703233687193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-4.0713703233687193</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-17.356894536466651</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-17.356894536466651</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-4.0713703233687193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-4.0713703233687193</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-21.42826485983537</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-21.42826485983537</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5488.8303660692454</v>
      </c>
      <c r="I49" s="166">
        <f t="shared" si="14"/>
        <v>0</v>
      </c>
      <c r="J49" s="174">
        <f t="shared" si="14"/>
        <v>0</v>
      </c>
      <c r="K49" s="174">
        <f t="shared" si="14"/>
        <v>0</v>
      </c>
      <c r="L49" s="174">
        <f t="shared" si="14"/>
        <v>0</v>
      </c>
      <c r="M49" s="174">
        <f t="shared" si="14"/>
        <v>0</v>
      </c>
      <c r="N49" s="174">
        <f t="shared" si="14"/>
        <v>0</v>
      </c>
      <c r="O49" s="174">
        <f t="shared" si="14"/>
        <v>833.10366825628057</v>
      </c>
      <c r="P49" s="174">
        <f t="shared" si="14"/>
        <v>899.69360606813086</v>
      </c>
      <c r="Q49" s="174">
        <f t="shared" si="14"/>
        <v>928.91624814152465</v>
      </c>
      <c r="R49" s="174">
        <f t="shared" si="14"/>
        <v>940.99215936736437</v>
      </c>
      <c r="S49" s="174">
        <f t="shared" si="14"/>
        <v>943.06234211797255</v>
      </c>
      <c r="T49" s="174">
        <f t="shared" si="14"/>
        <v>943.06234211797255</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-21.42826485983537</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-21.42826485983537</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5467.4021012094099</v>
      </c>
      <c r="J51" s="174">
        <f xml:space="preserve"> J49 + J50</f>
        <v>0</v>
      </c>
      <c r="K51" s="174">
        <f t="shared" ref="K51:T51" si="16" xml:space="preserve"> K49 + K50</f>
        <v>0</v>
      </c>
      <c r="L51" s="174">
        <f t="shared" si="16"/>
        <v>0</v>
      </c>
      <c r="M51" s="174">
        <f t="shared" si="16"/>
        <v>0</v>
      </c>
      <c r="N51" s="174">
        <f t="shared" si="16"/>
        <v>0</v>
      </c>
      <c r="O51" s="174">
        <f t="shared" si="16"/>
        <v>833.10366825628057</v>
      </c>
      <c r="P51" s="174">
        <f t="shared" si="16"/>
        <v>899.69360606813086</v>
      </c>
      <c r="Q51" s="174">
        <f xml:space="preserve"> Q49 + Q50</f>
        <v>907.48798328168925</v>
      </c>
      <c r="R51" s="174">
        <f t="shared" si="16"/>
        <v>940.99215936736437</v>
      </c>
      <c r="S51" s="174">
        <f t="shared" si="16"/>
        <v>943.06234211797255</v>
      </c>
      <c r="T51" s="174">
        <f t="shared" si="16"/>
        <v>943.06234211797255</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5467.4021012094099</v>
      </c>
      <c r="I54" s="166">
        <f t="shared" si="17"/>
        <v>0</v>
      </c>
      <c r="J54" s="166">
        <f t="shared" si="17"/>
        <v>0</v>
      </c>
      <c r="K54" s="166">
        <f t="shared" si="17"/>
        <v>0</v>
      </c>
      <c r="L54" s="166">
        <f t="shared" si="17"/>
        <v>0</v>
      </c>
      <c r="M54" s="166">
        <f t="shared" si="17"/>
        <v>0</v>
      </c>
      <c r="N54" s="166">
        <f t="shared" si="17"/>
        <v>0</v>
      </c>
      <c r="O54" s="166">
        <f t="shared" si="17"/>
        <v>833.10366825628057</v>
      </c>
      <c r="P54" s="166">
        <f t="shared" si="17"/>
        <v>899.69360606813086</v>
      </c>
      <c r="Q54" s="166">
        <f xml:space="preserve"> Q$51</f>
        <v>907.48798328168925</v>
      </c>
      <c r="R54" s="166">
        <f t="shared" si="17"/>
        <v>940.99215936736437</v>
      </c>
      <c r="S54" s="166">
        <f t="shared" si="17"/>
        <v>943.06234211797255</v>
      </c>
      <c r="T54" s="166">
        <f t="shared" si="17"/>
        <v>943.06234211797255</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7.99299539170506E-2</v>
      </c>
      <c r="Q55" s="210">
        <f xml:space="preserve"> IF( P54 = 0, 0, Q54 / P54 - 1 )</f>
        <v>8.6633684634278563E-3</v>
      </c>
      <c r="R55" s="210">
        <f t="shared" si="18"/>
        <v>3.6919691172676572E-2</v>
      </c>
      <c r="S55" s="210">
        <f t="shared" si="18"/>
        <v>2.1999999999999797E-3</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7.99299539170506E-2</v>
      </c>
      <c r="Q60" s="212">
        <f t="shared" si="21"/>
        <v>8.6633684634278563E-3</v>
      </c>
      <c r="R60" s="212">
        <f t="shared" si="21"/>
        <v>3.6919691172676572E-2</v>
      </c>
      <c r="S60" s="212">
        <f t="shared" si="21"/>
        <v>2.1999999999999797E-3</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-2.3417291481576674E-2</v>
      </c>
      <c r="R63" s="210">
        <f t="shared" si="23"/>
        <v>3.6919691172676572E-2</v>
      </c>
      <c r="S63" s="210">
        <f t="shared" si="23"/>
        <v>2.1999999999999797E-3</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-2.3417291481576674E-2</v>
      </c>
      <c r="R65" s="212">
        <f t="shared" si="24"/>
        <v>3.6919691172676572E-2</v>
      </c>
      <c r="S65" s="212">
        <f t="shared" si="24"/>
        <v>2.1999999999999797E-3</v>
      </c>
      <c r="T65" s="212">
        <f t="shared" si="24"/>
        <v>0</v>
      </c>
    </row>
    <row r="66" spans="1:20" s="166" customFormat="1" ht="13.15" x14ac:dyDescent="0.35">
      <c r="A66" s="167"/>
      <c r="B66" s="168"/>
      <c r="E66" s="338" t="s">
        <v>336</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7.4400000000000008E-2</v>
      </c>
      <c r="Q66" s="284">
        <f>IF(Q58&lt;&gt;0,IF(Q65&gt;=0,ROUNDUP(ROUNDDOWN(Q65,5),4),ROUNDDOWN(ROUNDUP(Q65,5),4)),Q28)</f>
        <v>-2.3400000000000001E-2</v>
      </c>
      <c r="R66" s="284">
        <f t="shared" si="25"/>
        <v>3.7000000000000005E-2</v>
      </c>
      <c r="S66" s="284">
        <f t="shared" si="25"/>
        <v>2.1999999999999997E-3</v>
      </c>
      <c r="T66" s="284">
        <f t="shared" si="25"/>
        <v>0</v>
      </c>
    </row>
    <row r="67" spans="1:20" s="190" customFormat="1" ht="13.15" x14ac:dyDescent="0.35">
      <c r="A67" s="188"/>
      <c r="B67" s="189"/>
      <c r="E67" s="339" t="s">
        <v>336</v>
      </c>
      <c r="G67" s="238" t="s">
        <v>163</v>
      </c>
      <c r="J67" s="190">
        <f>J66*100</f>
        <v>0</v>
      </c>
      <c r="K67" s="190">
        <f t="shared" ref="K67:T67" si="26">K66*100</f>
        <v>0</v>
      </c>
      <c r="L67" s="190">
        <f t="shared" si="26"/>
        <v>0</v>
      </c>
      <c r="M67" s="190">
        <f t="shared" si="26"/>
        <v>0</v>
      </c>
      <c r="N67" s="190">
        <f t="shared" si="26"/>
        <v>0</v>
      </c>
      <c r="O67" s="190">
        <f t="shared" si="26"/>
        <v>0</v>
      </c>
      <c r="P67" s="190">
        <f t="shared" si="26"/>
        <v>7.44</v>
      </c>
      <c r="Q67" s="190">
        <f t="shared" si="26"/>
        <v>-2.34</v>
      </c>
      <c r="R67" s="190">
        <f t="shared" si="26"/>
        <v>3.7000000000000006</v>
      </c>
      <c r="S67" s="190">
        <f t="shared" si="26"/>
        <v>0.21999999999999997</v>
      </c>
      <c r="T67" s="190">
        <f t="shared" si="26"/>
        <v>0</v>
      </c>
    </row>
    <row r="68" spans="1:20" s="273" customFormat="1" ht="13.15" x14ac:dyDescent="0.35">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45">
      <c r="A69" s="223"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Wastewater network plus</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deferrals'!E$135</f>
        <v>Payments after abatements and deferrals and other bespoke adjustments - wastewater network plus</v>
      </c>
      <c r="F10" s="319">
        <f xml:space="preserve"> 'Abatements and deferrals'!F$135</f>
        <v>-18.988945321123644</v>
      </c>
      <c r="G10" s="319" t="str">
        <f xml:space="preserve"> 'Abatements and deferrals'!G$135</f>
        <v>£m (2017-18 FYA CPIH prices)</v>
      </c>
      <c r="H10" s="319">
        <f xml:space="preserve"> 'Abatements and deferrals'!H$135</f>
        <v>0</v>
      </c>
      <c r="I10" s="319">
        <f xml:space="preserve"> 'Abatements and deferrals'!I$135</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16384"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16384" s="166" customFormat="1" ht="13.15" x14ac:dyDescent="0.35">
      <c r="A19" s="167"/>
      <c r="B19" s="168"/>
      <c r="C19" s="169"/>
    </row>
    <row r="20" spans="1:16384" s="315" customFormat="1" ht="13.15" x14ac:dyDescent="0.35">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-18.988945321123644</v>
      </c>
      <c r="R20" s="315">
        <f t="shared" si="2"/>
        <v>0</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45">
      <c r="A22" s="224" t="s">
        <v>322</v>
      </c>
    </row>
    <row r="23" spans="1:16384" ht="13.15" x14ac:dyDescent="0.35">
      <c r="B23" s="102"/>
      <c r="E23" s="96"/>
    </row>
    <row r="24" spans="1:16384" s="166" customFormat="1" ht="13.15" x14ac:dyDescent="0.35">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846.00854667717704</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ht="13.15" x14ac:dyDescent="0.35">
      <c r="A25" s="167"/>
      <c r="B25" s="168"/>
      <c r="E25" s="166" t="str">
        <f>E24</f>
        <v>Allowed revenue starting point in FD - wastewater network plus</v>
      </c>
      <c r="H25" s="166">
        <f xml:space="preserve"> SUM( J24:T24 )</f>
        <v>846.00854667717704</v>
      </c>
      <c r="I25" s="172"/>
      <c r="J25" s="172"/>
      <c r="K25" s="172"/>
      <c r="L25" s="172"/>
      <c r="M25" s="172"/>
      <c r="N25" s="172"/>
      <c r="O25" s="172"/>
      <c r="P25" s="172"/>
      <c r="Q25" s="172"/>
      <c r="R25" s="172"/>
      <c r="S25" s="172"/>
      <c r="T25" s="172"/>
    </row>
    <row r="26" spans="1:16384" s="182" customFormat="1" ht="13.15" x14ac:dyDescent="0.35">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ht="13.15" x14ac:dyDescent="0.35">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-0.81</v>
      </c>
      <c r="Q27" s="319">
        <f xml:space="preserve"> InpActive!Q$114</f>
        <v>-1.59</v>
      </c>
      <c r="R27" s="319">
        <f xml:space="preserve"> InpActive!R$114</f>
        <v>-0.4</v>
      </c>
      <c r="S27" s="319">
        <f xml:space="preserve"> InpActive!S$114</f>
        <v>-0.16</v>
      </c>
      <c r="T27" s="319">
        <f xml:space="preserve"> InpActive!T$114</f>
        <v>0</v>
      </c>
    </row>
    <row r="28" spans="1:16384" ht="13.15" x14ac:dyDescent="0.35">
      <c r="A28" s="107"/>
      <c r="B28" s="102"/>
      <c r="C28" s="108"/>
      <c r="E28" s="204" t="s">
        <v>323</v>
      </c>
      <c r="F28" s="204"/>
      <c r="G28" s="204" t="s">
        <v>160</v>
      </c>
      <c r="H28" s="204"/>
      <c r="I28" s="204"/>
      <c r="J28" s="204">
        <f>J27/100</f>
        <v>0</v>
      </c>
      <c r="K28" s="204">
        <f t="shared" ref="K28:T28" si="258">K27/100</f>
        <v>0</v>
      </c>
      <c r="L28" s="204">
        <f t="shared" si="258"/>
        <v>0</v>
      </c>
      <c r="M28" s="204">
        <f t="shared" si="258"/>
        <v>0</v>
      </c>
      <c r="N28" s="204">
        <f t="shared" si="258"/>
        <v>0</v>
      </c>
      <c r="O28" s="204">
        <f t="shared" si="258"/>
        <v>0</v>
      </c>
      <c r="P28" s="204">
        <f t="shared" si="258"/>
        <v>-8.1000000000000013E-3</v>
      </c>
      <c r="Q28" s="204">
        <f t="shared" si="258"/>
        <v>-1.5900000000000001E-2</v>
      </c>
      <c r="R28" s="204">
        <f t="shared" si="258"/>
        <v>-4.0000000000000001E-3</v>
      </c>
      <c r="S28" s="204">
        <f t="shared" si="258"/>
        <v>-1.6000000000000001E-3</v>
      </c>
      <c r="T28" s="204">
        <f t="shared" si="258"/>
        <v>0</v>
      </c>
    </row>
    <row r="29" spans="1:16384" s="163" customFormat="1" ht="13.15" x14ac:dyDescent="0.35">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16384" s="166" customFormat="1" ht="13.15" x14ac:dyDescent="0.35">
      <c r="A30" s="167"/>
      <c r="B30" s="168"/>
      <c r="E30" s="166" t="s">
        <v>324</v>
      </c>
      <c r="G30" s="166" t="s">
        <v>182</v>
      </c>
      <c r="H30" s="166">
        <f xml:space="preserve"> SUM( J30:T30 )</f>
        <v>5183.2065968343404</v>
      </c>
      <c r="J30" s="166">
        <f t="shared" ref="J30:T30" si="259" xml:space="preserve"> IF(J26=1, $H25 * (1+J29+J28), I30 *  (1+J29+J28))</f>
        <v>0</v>
      </c>
      <c r="K30" s="166">
        <f t="shared" si="259"/>
        <v>0</v>
      </c>
      <c r="L30" s="166">
        <f t="shared" si="259"/>
        <v>0</v>
      </c>
      <c r="M30" s="166">
        <f t="shared" si="259"/>
        <v>0</v>
      </c>
      <c r="N30" s="166">
        <f t="shared" si="259"/>
        <v>0</v>
      </c>
      <c r="O30" s="166">
        <f t="shared" si="259"/>
        <v>858.67097581359883</v>
      </c>
      <c r="P30" s="166">
        <f t="shared" si="259"/>
        <v>856.46415183566671</v>
      </c>
      <c r="Q30" s="166">
        <f t="shared" si="259"/>
        <v>870.32230703160633</v>
      </c>
      <c r="R30" s="166">
        <f t="shared" si="259"/>
        <v>866.84101780347987</v>
      </c>
      <c r="S30" s="166">
        <f t="shared" si="259"/>
        <v>865.45407217499428</v>
      </c>
      <c r="T30" s="166">
        <f t="shared" si="259"/>
        <v>865.45407217499428</v>
      </c>
    </row>
    <row r="31" spans="1:16384" ht="13.15" x14ac:dyDescent="0.35">
      <c r="B31" s="102"/>
      <c r="E31" s="96"/>
    </row>
    <row r="32" spans="1:16384"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-18.988945321123644</v>
      </c>
      <c r="R33" s="166">
        <f t="shared" si="260"/>
        <v>0</v>
      </c>
      <c r="S33" s="166">
        <f t="shared" si="260"/>
        <v>0</v>
      </c>
      <c r="T33" s="166">
        <f t="shared" si="260"/>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-21.00348961845307</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-21.00348961845307</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ht="13.15" x14ac:dyDescent="0.35">
      <c r="A40" s="167"/>
      <c r="B40" s="168"/>
      <c r="C40" s="169"/>
    </row>
    <row r="41" spans="1:20" s="166" customFormat="1" ht="13.15" x14ac:dyDescent="0.35">
      <c r="A41" s="167"/>
      <c r="B41" s="168"/>
      <c r="C41" s="169"/>
      <c r="E41" s="166" t="str">
        <f t="shared" ref="E41:T41" si="263" xml:space="preserve"> E$35</f>
        <v>ODI value nominal prices</v>
      </c>
      <c r="F41" s="166">
        <f t="shared" si="263"/>
        <v>0</v>
      </c>
      <c r="G41" s="166" t="str">
        <f t="shared" si="263"/>
        <v>£m (nominal)</v>
      </c>
      <c r="H41" s="166">
        <f t="shared" si="263"/>
        <v>-21.00348961845307</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-21.00348961845307</v>
      </c>
      <c r="R41" s="166">
        <f t="shared" si="263"/>
        <v>0</v>
      </c>
      <c r="S41" s="166">
        <f t="shared" si="263"/>
        <v>0</v>
      </c>
      <c r="T41" s="166">
        <f t="shared" si="263"/>
        <v>0</v>
      </c>
    </row>
    <row r="42" spans="1:20" s="204" customFormat="1" ht="13.15" x14ac:dyDescent="0.35">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ht="13.15" x14ac:dyDescent="0.35">
      <c r="A43" s="167"/>
      <c r="B43" s="168"/>
      <c r="C43" s="169"/>
      <c r="E43" s="166" t="s">
        <v>328</v>
      </c>
      <c r="G43" s="166" t="s">
        <v>182</v>
      </c>
      <c r="H43" s="166">
        <f xml:space="preserve"> SUM( J43:T43 )</f>
        <v>-4.9267444784025702</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-4.9267444784025702</v>
      </c>
      <c r="R43" s="166">
        <f t="shared" si="265"/>
        <v>0</v>
      </c>
      <c r="S43" s="166">
        <f t="shared" si="265"/>
        <v>0</v>
      </c>
      <c r="T43" s="166">
        <f t="shared" si="265"/>
        <v>0</v>
      </c>
    </row>
    <row r="44" spans="1:20" s="166" customFormat="1" ht="13.15" x14ac:dyDescent="0.35">
      <c r="A44" s="167"/>
      <c r="B44" s="168"/>
      <c r="C44" s="169"/>
    </row>
    <row r="45" spans="1:20" s="166" customFormat="1" ht="13.15" x14ac:dyDescent="0.35">
      <c r="A45" s="167"/>
      <c r="B45" s="168"/>
      <c r="C45" s="169"/>
      <c r="E45" s="166" t="str">
        <f t="shared" ref="E45:T45" si="266" xml:space="preserve"> E$35</f>
        <v>ODI value nominal prices</v>
      </c>
      <c r="F45" s="166">
        <f t="shared" si="266"/>
        <v>0</v>
      </c>
      <c r="G45" s="166" t="str">
        <f t="shared" si="266"/>
        <v>£m (nominal)</v>
      </c>
      <c r="H45" s="166">
        <f t="shared" si="266"/>
        <v>-21.00348961845307</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-21.00348961845307</v>
      </c>
      <c r="R45" s="174">
        <f t="shared" si="266"/>
        <v>0</v>
      </c>
      <c r="S45" s="174">
        <f t="shared" si="266"/>
        <v>0</v>
      </c>
      <c r="T45" s="174">
        <f t="shared" si="266"/>
        <v>0</v>
      </c>
    </row>
    <row r="46" spans="1:20" s="166" customFormat="1" ht="13.15" x14ac:dyDescent="0.35">
      <c r="A46" s="167"/>
      <c r="B46" s="168"/>
      <c r="C46" s="169"/>
      <c r="E46" s="166" t="str">
        <f t="shared" ref="E46:T46" si="267" xml:space="preserve"> E$43</f>
        <v>Tax on nominal ODI</v>
      </c>
      <c r="F46" s="166">
        <f t="shared" si="267"/>
        <v>0</v>
      </c>
      <c r="G46" s="166" t="str">
        <f t="shared" si="267"/>
        <v>£m (nominal)</v>
      </c>
      <c r="H46" s="166">
        <f t="shared" si="267"/>
        <v>-4.9267444784025702</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-4.9267444784025702</v>
      </c>
      <c r="R46" s="174">
        <f t="shared" si="267"/>
        <v>0</v>
      </c>
      <c r="S46" s="174">
        <f t="shared" si="267"/>
        <v>0</v>
      </c>
      <c r="T46" s="174">
        <f t="shared" si="267"/>
        <v>0</v>
      </c>
    </row>
    <row r="47" spans="1:20" s="166" customFormat="1" ht="13.15" x14ac:dyDescent="0.35">
      <c r="A47" s="167"/>
      <c r="B47" s="168"/>
      <c r="C47" s="169"/>
      <c r="E47" s="166" t="s">
        <v>329</v>
      </c>
      <c r="G47" s="166" t="s">
        <v>182</v>
      </c>
      <c r="H47" s="174">
        <f xml:space="preserve"> H45 + H46</f>
        <v>-25.930234096855642</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-25.930234096855642</v>
      </c>
      <c r="R47" s="174">
        <f t="shared" si="268"/>
        <v>0</v>
      </c>
      <c r="S47" s="174">
        <f t="shared" si="268"/>
        <v>0</v>
      </c>
      <c r="T47" s="174">
        <f t="shared" si="268"/>
        <v>0</v>
      </c>
    </row>
    <row r="48" spans="1:20" s="166" customFormat="1" ht="13.15" x14ac:dyDescent="0.35">
      <c r="A48" s="167"/>
      <c r="B48" s="168"/>
      <c r="C48" s="169"/>
    </row>
    <row r="49" spans="1:20" s="166" customFormat="1" ht="13.15" x14ac:dyDescent="0.35">
      <c r="A49" s="167"/>
      <c r="B49" s="168"/>
      <c r="C49" s="169"/>
      <c r="E49" s="166" t="str">
        <f t="shared" ref="E49:T49" si="269" xml:space="preserve"> E$30</f>
        <v>Allowed revenue</v>
      </c>
      <c r="F49" s="166">
        <f t="shared" si="269"/>
        <v>0</v>
      </c>
      <c r="G49" s="166" t="str">
        <f t="shared" si="269"/>
        <v>£m (nominal)</v>
      </c>
      <c r="H49" s="166">
        <f t="shared" si="269"/>
        <v>5183.2065968343404</v>
      </c>
      <c r="I49" s="166">
        <f t="shared" si="269"/>
        <v>0</v>
      </c>
      <c r="J49" s="174">
        <f t="shared" si="269"/>
        <v>0</v>
      </c>
      <c r="K49" s="174">
        <f t="shared" si="269"/>
        <v>0</v>
      </c>
      <c r="L49" s="174">
        <f t="shared" si="269"/>
        <v>0</v>
      </c>
      <c r="M49" s="174">
        <f t="shared" si="269"/>
        <v>0</v>
      </c>
      <c r="N49" s="174">
        <f t="shared" si="269"/>
        <v>0</v>
      </c>
      <c r="O49" s="174">
        <f t="shared" si="269"/>
        <v>858.67097581359883</v>
      </c>
      <c r="P49" s="174">
        <f t="shared" si="269"/>
        <v>856.46415183566671</v>
      </c>
      <c r="Q49" s="174">
        <f t="shared" si="269"/>
        <v>870.32230703160633</v>
      </c>
      <c r="R49" s="174">
        <f t="shared" si="269"/>
        <v>866.84101780347987</v>
      </c>
      <c r="S49" s="174">
        <f t="shared" si="269"/>
        <v>865.45407217499428</v>
      </c>
      <c r="T49" s="174">
        <f t="shared" si="269"/>
        <v>865.45407217499428</v>
      </c>
    </row>
    <row r="50" spans="1:20" s="166" customFormat="1" ht="13.15" x14ac:dyDescent="0.35">
      <c r="A50" s="167"/>
      <c r="B50" s="168"/>
      <c r="C50" s="169"/>
      <c r="E50" s="166" t="str">
        <f t="shared" ref="E50:T50" si="270" xml:space="preserve"> E$47</f>
        <v xml:space="preserve">Total value of ODI </v>
      </c>
      <c r="F50" s="166">
        <f t="shared" si="270"/>
        <v>0</v>
      </c>
      <c r="G50" s="166" t="str">
        <f t="shared" si="270"/>
        <v>£m (nominal)</v>
      </c>
      <c r="H50" s="166">
        <f t="shared" si="270"/>
        <v>-25.930234096855642</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-25.930234096855642</v>
      </c>
      <c r="R50" s="174">
        <f t="shared" si="270"/>
        <v>0</v>
      </c>
      <c r="S50" s="174">
        <f t="shared" si="270"/>
        <v>0</v>
      </c>
      <c r="T50" s="174">
        <f t="shared" si="270"/>
        <v>0</v>
      </c>
    </row>
    <row r="51" spans="1:20" s="166" customFormat="1" ht="13.15" x14ac:dyDescent="0.35">
      <c r="A51" s="167"/>
      <c r="B51" s="168"/>
      <c r="C51" s="169"/>
      <c r="E51" s="166" t="s">
        <v>330</v>
      </c>
      <c r="G51" s="166" t="s">
        <v>182</v>
      </c>
      <c r="H51" s="166">
        <f xml:space="preserve"> SUM( J51:T51 )</f>
        <v>5157.2763627374852</v>
      </c>
      <c r="J51" s="174">
        <f xml:space="preserve"> J49 + J50</f>
        <v>0</v>
      </c>
      <c r="K51" s="174">
        <f t="shared" ref="K51:T51" si="271" xml:space="preserve"> K49 + K50</f>
        <v>0</v>
      </c>
      <c r="L51" s="174">
        <f t="shared" si="271"/>
        <v>0</v>
      </c>
      <c r="M51" s="174">
        <f t="shared" si="271"/>
        <v>0</v>
      </c>
      <c r="N51" s="174">
        <f t="shared" si="271"/>
        <v>0</v>
      </c>
      <c r="O51" s="174">
        <f t="shared" si="271"/>
        <v>858.67097581359883</v>
      </c>
      <c r="P51" s="174">
        <f t="shared" si="271"/>
        <v>856.46415183566671</v>
      </c>
      <c r="Q51" s="174">
        <f t="shared" si="271"/>
        <v>844.39207293475067</v>
      </c>
      <c r="R51" s="174">
        <f t="shared" si="271"/>
        <v>866.84101780347987</v>
      </c>
      <c r="S51" s="174">
        <f t="shared" si="271"/>
        <v>865.45407217499428</v>
      </c>
      <c r="T51" s="174">
        <f t="shared" si="271"/>
        <v>865.45407217499428</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272" xml:space="preserve"> E$51</f>
        <v>Revised total nominal revenue</v>
      </c>
      <c r="F54" s="166">
        <f t="shared" si="272"/>
        <v>0</v>
      </c>
      <c r="G54" s="166" t="str">
        <f t="shared" si="272"/>
        <v>£m (nominal)</v>
      </c>
      <c r="H54" s="166">
        <f t="shared" si="272"/>
        <v>5157.2763627374852</v>
      </c>
      <c r="I54" s="166">
        <f t="shared" si="272"/>
        <v>0</v>
      </c>
      <c r="J54" s="166">
        <f t="shared" si="272"/>
        <v>0</v>
      </c>
      <c r="K54" s="166">
        <f t="shared" si="272"/>
        <v>0</v>
      </c>
      <c r="L54" s="166">
        <f t="shared" si="272"/>
        <v>0</v>
      </c>
      <c r="M54" s="166">
        <f t="shared" si="272"/>
        <v>0</v>
      </c>
      <c r="N54" s="166">
        <f t="shared" si="272"/>
        <v>0</v>
      </c>
      <c r="O54" s="166">
        <f t="shared" si="272"/>
        <v>858.67097581359883</v>
      </c>
      <c r="P54" s="166">
        <f t="shared" si="272"/>
        <v>856.46415183566671</v>
      </c>
      <c r="Q54" s="166">
        <f t="shared" si="272"/>
        <v>844.39207293475067</v>
      </c>
      <c r="R54" s="166">
        <f t="shared" si="272"/>
        <v>866.84101780347987</v>
      </c>
      <c r="S54" s="166">
        <f t="shared" si="272"/>
        <v>865.45407217499428</v>
      </c>
      <c r="T54" s="166">
        <f t="shared" si="272"/>
        <v>865.45407217499428</v>
      </c>
    </row>
    <row r="55" spans="1:20" s="166" customFormat="1" x14ac:dyDescent="0.35">
      <c r="A55" s="167"/>
      <c r="B55" s="175"/>
      <c r="C55" s="169"/>
      <c r="E55" s="176" t="s">
        <v>332</v>
      </c>
      <c r="F55" s="177"/>
      <c r="G55" s="176" t="s">
        <v>160</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-2.5700460829494176E-3</v>
      </c>
      <c r="Q55" s="210">
        <f t="shared" si="273"/>
        <v>-1.4095252994584584E-2</v>
      </c>
      <c r="R55" s="210">
        <f t="shared" si="273"/>
        <v>2.6585925647911512E-2</v>
      </c>
      <c r="S55" s="210">
        <f t="shared" si="273"/>
        <v>-1.6000000000000458E-3</v>
      </c>
      <c r="T55" s="210">
        <f t="shared" si="273"/>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1</v>
      </c>
      <c r="R57" s="213">
        <f t="shared" si="274"/>
        <v>0</v>
      </c>
      <c r="S57" s="213">
        <f t="shared" si="274"/>
        <v>0</v>
      </c>
      <c r="T57" s="213">
        <f t="shared" si="274"/>
        <v>0</v>
      </c>
    </row>
    <row r="58" spans="1:20" s="315" customFormat="1" x14ac:dyDescent="0.35">
      <c r="A58" s="375"/>
      <c r="B58" s="376"/>
      <c r="C58" s="377"/>
      <c r="E58" s="378" t="s">
        <v>333</v>
      </c>
      <c r="F58" s="379"/>
      <c r="G58" s="378" t="s">
        <v>247</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1</v>
      </c>
      <c r="R58" s="380">
        <f t="shared" si="275"/>
        <v>1</v>
      </c>
      <c r="S58" s="380">
        <f t="shared" si="275"/>
        <v>1</v>
      </c>
      <c r="T58" s="380">
        <f t="shared" si="275"/>
        <v>1</v>
      </c>
    </row>
    <row r="59" spans="1:20" s="166" customFormat="1" ht="13.15" x14ac:dyDescent="0.35">
      <c r="A59" s="167"/>
      <c r="B59" s="168"/>
      <c r="C59" s="169"/>
    </row>
    <row r="60" spans="1:20" s="179" customFormat="1" ht="13.15" x14ac:dyDescent="0.35">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-2.5700460829494176E-3</v>
      </c>
      <c r="Q60" s="212">
        <f t="shared" si="276"/>
        <v>-1.4095252994584584E-2</v>
      </c>
      <c r="R60" s="212">
        <f t="shared" si="276"/>
        <v>2.6585925647911512E-2</v>
      </c>
      <c r="S60" s="212">
        <f t="shared" si="276"/>
        <v>-1.6000000000000458E-3</v>
      </c>
      <c r="T60" s="212">
        <f t="shared" si="276"/>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1</v>
      </c>
      <c r="R62" s="214">
        <f t="shared" si="277"/>
        <v>1</v>
      </c>
      <c r="S62" s="214">
        <f t="shared" si="277"/>
        <v>1</v>
      </c>
      <c r="T62" s="214">
        <f t="shared" si="277"/>
        <v>1</v>
      </c>
    </row>
    <row r="63" spans="1:20" s="179" customFormat="1" ht="13.15" x14ac:dyDescent="0.35">
      <c r="A63" s="178"/>
      <c r="B63" s="168"/>
      <c r="E63" s="176" t="s">
        <v>334</v>
      </c>
      <c r="F63" s="177"/>
      <c r="G63" s="176" t="s">
        <v>160</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-4.6175912939589114E-2</v>
      </c>
      <c r="R63" s="210">
        <f t="shared" si="278"/>
        <v>2.6585925647911512E-2</v>
      </c>
      <c r="S63" s="210">
        <f t="shared" si="278"/>
        <v>-1.6000000000000458E-3</v>
      </c>
      <c r="T63" s="210">
        <f t="shared" si="278"/>
        <v>0</v>
      </c>
    </row>
    <row r="64" spans="1:20" s="166" customFormat="1" ht="13.15" x14ac:dyDescent="0.35">
      <c r="A64" s="167"/>
      <c r="B64" s="168"/>
      <c r="C64" s="169"/>
    </row>
    <row r="65" spans="1:20" s="166" customFormat="1" ht="13.15" x14ac:dyDescent="0.35">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-4.6175912939589114E-2</v>
      </c>
      <c r="R65" s="212">
        <f t="shared" si="279"/>
        <v>2.6585925647911512E-2</v>
      </c>
      <c r="S65" s="212">
        <f t="shared" si="279"/>
        <v>-1.6000000000000458E-3</v>
      </c>
      <c r="T65" s="212">
        <f t="shared" si="279"/>
        <v>0</v>
      </c>
    </row>
    <row r="66" spans="1:20" s="166" customFormat="1" ht="13.15" x14ac:dyDescent="0.35">
      <c r="A66" s="167"/>
      <c r="B66" s="168"/>
      <c r="E66" s="338" t="s">
        <v>337</v>
      </c>
      <c r="G66" s="174" t="s">
        <v>160</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-8.1000000000000013E-3</v>
      </c>
      <c r="Q66" s="284">
        <f t="shared" si="280"/>
        <v>-4.6100000000000002E-2</v>
      </c>
      <c r="R66" s="284">
        <f t="shared" si="280"/>
        <v>2.6599999999999999E-2</v>
      </c>
      <c r="S66" s="284">
        <f t="shared" si="280"/>
        <v>-1.6000000000000001E-3</v>
      </c>
      <c r="T66" s="284">
        <f t="shared" si="280"/>
        <v>0</v>
      </c>
    </row>
    <row r="67" spans="1:20" s="179" customFormat="1" ht="13.15" x14ac:dyDescent="0.35">
      <c r="A67" s="178"/>
      <c r="B67" s="168"/>
      <c r="E67" s="339" t="s">
        <v>337</v>
      </c>
      <c r="G67" s="180" t="s">
        <v>163</v>
      </c>
      <c r="J67" s="190">
        <f>J66*100</f>
        <v>0</v>
      </c>
      <c r="K67" s="190">
        <f t="shared" ref="K67:T67" si="281">K66*100</f>
        <v>0</v>
      </c>
      <c r="L67" s="190">
        <f t="shared" si="281"/>
        <v>0</v>
      </c>
      <c r="M67" s="190">
        <f t="shared" si="281"/>
        <v>0</v>
      </c>
      <c r="N67" s="190">
        <f t="shared" si="281"/>
        <v>0</v>
      </c>
      <c r="O67" s="190">
        <f t="shared" si="281"/>
        <v>0</v>
      </c>
      <c r="P67" s="190">
        <f t="shared" si="281"/>
        <v>-0.81000000000000016</v>
      </c>
      <c r="Q67" s="190">
        <f t="shared" si="281"/>
        <v>-4.6100000000000003</v>
      </c>
      <c r="R67" s="190">
        <f t="shared" si="281"/>
        <v>2.6599999999999997</v>
      </c>
      <c r="S67" s="190">
        <f t="shared" si="281"/>
        <v>-0.16</v>
      </c>
      <c r="T67" s="190">
        <f t="shared" si="281"/>
        <v>0</v>
      </c>
    </row>
    <row r="68" spans="1:20" ht="13.15" x14ac:dyDescent="0.35">
      <c r="B68" s="102"/>
      <c r="E68" s="96"/>
    </row>
    <row r="69" spans="1:20" s="223" customFormat="1" ht="13.5" x14ac:dyDescent="0.45">
      <c r="A69" s="223"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tabSelected="1" zoomScaleNormal="100" workbookViewId="0">
      <pane xSplit="9" ySplit="5" topLeftCell="Q30"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Bioresources (sludge)</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deferrals'!E$136</f>
        <v>Payments after abatements and deferrals and other bespoke adjustments - bioresources (sludge)</v>
      </c>
      <c r="F10" s="319">
        <f xml:space="preserve"> 'Abatements and deferrals'!F$136</f>
        <v>-1.2331799999999999</v>
      </c>
      <c r="G10" s="319" t="str">
        <f xml:space="preserve"> 'Abatements and deferrals'!G$136</f>
        <v>£m (2017-18 FYA CPIH prices)</v>
      </c>
      <c r="H10" s="319">
        <f xml:space="preserve"> 'Abatements and deferrals'!H$136</f>
        <v>0</v>
      </c>
      <c r="I10" s="319">
        <f xml:space="preserve"> 'Abatements and deferrals'!I$136</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-1.2331799999999999</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-1.2331799999999999</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-1.3640085265225934</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-1.3640085265225934</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-0.31995261733246011</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-0.31995261733246011</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-1.3640085265225934</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-0.31995261733246011</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-0.31995261733246011</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-1.6839611438550535</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-1.6839611438550535</v>
      </c>
      <c r="R39" s="174">
        <f t="shared" si="11"/>
        <v>0</v>
      </c>
      <c r="S39" s="174">
        <f t="shared" si="11"/>
        <v>0</v>
      </c>
      <c r="T39" s="174">
        <f t="shared" si="11"/>
        <v>0</v>
      </c>
    </row>
    <row r="40" spans="1:20" ht="13.15" x14ac:dyDescent="0.35">
      <c r="B40" s="102"/>
      <c r="E40" s="96"/>
      <c r="H40" s="93"/>
      <c r="I40" s="93"/>
      <c r="J40" s="95"/>
      <c r="K40" s="95"/>
      <c r="L40" s="95"/>
      <c r="M40" s="95"/>
      <c r="N40" s="95"/>
      <c r="O40" s="95"/>
      <c r="P40" s="95"/>
      <c r="Q40" s="95"/>
      <c r="R40" s="95"/>
      <c r="S40" s="95"/>
      <c r="T40" s="95"/>
    </row>
    <row r="41" spans="1:20" ht="13.15" x14ac:dyDescent="0.35">
      <c r="B41" s="102" t="s">
        <v>338</v>
      </c>
      <c r="E41" s="96"/>
      <c r="H41" s="93"/>
      <c r="I41" s="93"/>
      <c r="J41" s="95"/>
      <c r="K41" s="95"/>
      <c r="L41" s="95"/>
      <c r="M41" s="95"/>
      <c r="N41" s="95"/>
      <c r="O41" s="95"/>
      <c r="P41" s="95"/>
      <c r="Q41" s="95"/>
      <c r="R41" s="95"/>
      <c r="S41" s="95"/>
      <c r="T41" s="95"/>
    </row>
    <row r="42" spans="1:20" s="166" customFormat="1" ht="13.15" x14ac:dyDescent="0.35">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-1.6839611438550535</v>
      </c>
      <c r="R42" s="166">
        <f t="shared" si="13"/>
        <v>0</v>
      </c>
      <c r="S42" s="166">
        <f t="shared" si="13"/>
        <v>0</v>
      </c>
      <c r="T42" s="166">
        <f t="shared" si="13"/>
        <v>0</v>
      </c>
    </row>
    <row r="43" spans="1:20" s="163" customFormat="1" ht="13.15" x14ac:dyDescent="0.35">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1.1060903732809431</v>
      </c>
      <c r="R43" s="322">
        <f>Index!R16</f>
        <v>1.1060903732809431</v>
      </c>
      <c r="S43" s="322">
        <f>Index!S16</f>
        <v>1.1060903732809431</v>
      </c>
      <c r="T43" s="322">
        <f>Index!T16</f>
        <v>1.1060903732809431</v>
      </c>
    </row>
    <row r="44" spans="1:20" s="315" customFormat="1" ht="13.15" x14ac:dyDescent="0.35">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-1.5224444444444445</v>
      </c>
      <c r="R44" s="338">
        <f t="shared" si="14"/>
        <v>0</v>
      </c>
      <c r="S44" s="338">
        <f t="shared" si="14"/>
        <v>0</v>
      </c>
      <c r="T44" s="338">
        <f t="shared" si="14"/>
        <v>0</v>
      </c>
    </row>
    <row r="45" spans="1:20" s="166" customFormat="1" ht="13.15" x14ac:dyDescent="0.35">
      <c r="A45" s="167"/>
      <c r="B45" s="168"/>
      <c r="C45" s="169"/>
    </row>
    <row r="46" spans="1:20" s="166" customFormat="1" ht="13.15" x14ac:dyDescent="0.35">
      <c r="A46" s="167"/>
      <c r="B46" s="343" t="s">
        <v>339</v>
      </c>
      <c r="C46" s="169"/>
    </row>
    <row r="47" spans="1:20" s="172" customFormat="1" ht="13.15" x14ac:dyDescent="0.35">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160.76704184397599</v>
      </c>
      <c r="Q47" s="319">
        <f>InpActive!Q117</f>
        <v>161.62094887885601</v>
      </c>
      <c r="R47" s="319">
        <f>InpActive!R117</f>
        <v>162.47886486695199</v>
      </c>
      <c r="S47" s="319">
        <f>InpActive!S117</f>
        <v>163.33277190183199</v>
      </c>
      <c r="T47" s="319">
        <f>InpActive!T117</f>
        <v>0</v>
      </c>
    </row>
    <row r="48" spans="1:20" s="315" customFormat="1" ht="13.15" x14ac:dyDescent="0.35">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-1.5224444444444445</v>
      </c>
      <c r="R48" s="315">
        <f t="shared" si="15"/>
        <v>0</v>
      </c>
      <c r="S48" s="315">
        <f t="shared" si="15"/>
        <v>0</v>
      </c>
      <c r="T48" s="315">
        <f t="shared" si="15"/>
        <v>0</v>
      </c>
    </row>
    <row r="49" spans="1:20" s="190" customFormat="1" ht="13.15" x14ac:dyDescent="0.35">
      <c r="A49" s="188"/>
      <c r="B49" s="189"/>
      <c r="E49" s="344" t="s">
        <v>340</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160.76704184397599</v>
      </c>
      <c r="Q49" s="344">
        <f>Q47+Q48</f>
        <v>160.09850443441158</v>
      </c>
      <c r="R49" s="344">
        <f t="shared" si="16"/>
        <v>162.47886486695199</v>
      </c>
      <c r="S49" s="344">
        <f t="shared" si="16"/>
        <v>163.33277190183199</v>
      </c>
      <c r="T49" s="344">
        <f t="shared" si="16"/>
        <v>0</v>
      </c>
    </row>
    <row r="50" spans="1:20" ht="13.15" x14ac:dyDescent="0.35">
      <c r="B50" s="102"/>
      <c r="E50" s="96"/>
      <c r="H50" s="93"/>
      <c r="I50" s="93"/>
    </row>
    <row r="51" spans="1:20" s="223" customFormat="1" ht="13.5" x14ac:dyDescent="0.45">
      <c r="A51" s="223"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P33" activePane="bottomRight" state="frozen"/>
      <selection pane="topRight"/>
      <selection pane="bottomLeft"/>
      <selection pane="bottomRight"/>
    </sheetView>
  </sheetViews>
  <sheetFormatPr defaultColWidth="9.625"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35">
      <c r="A1" s="140" t="str">
        <f ca="1" xml:space="preserve"> RIGHT(CELL("filename", $A$1), LEN(CELL("filename", $A$1)) - SEARCH("]", CELL("filename", $A$1)))</f>
        <v>Residential retail</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deferrals'!E$137</f>
        <v>Payments after abatements and deferrals and other bespoke adjustments - residential retail</v>
      </c>
      <c r="F10" s="319">
        <f xml:space="preserve"> 'Abatements and deferrals'!F$137</f>
        <v>-17.272840000000002</v>
      </c>
      <c r="G10" s="319" t="str">
        <f xml:space="preserve"> 'Abatements and deferrals'!G$137</f>
        <v>£m (2017-18 FYA CPIH prices)</v>
      </c>
      <c r="H10" s="319">
        <f xml:space="preserve"> 'Abatements and deferrals'!H$137</f>
        <v>0</v>
      </c>
      <c r="I10" s="319">
        <f xml:space="preserve"> 'Abatements and deferrals'!I$137</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-17.272840000000002</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-17.272840000000002</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-19.105322043222007</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-19.105322043222007</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-4.4814952940891111</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-4.4814952940891111</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-19.105322043222007</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-4.4814952940891111</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-4.4814952940891111</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-23.586817337311118</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-23.586817337311118</v>
      </c>
      <c r="R39" s="174">
        <f t="shared" si="11"/>
        <v>0</v>
      </c>
      <c r="S39" s="174">
        <f t="shared" si="11"/>
        <v>0</v>
      </c>
      <c r="T39" s="174">
        <f t="shared" si="11"/>
        <v>0</v>
      </c>
    </row>
    <row r="40" spans="1:20" ht="13.15" x14ac:dyDescent="0.35">
      <c r="B40" s="102"/>
      <c r="E40" s="96"/>
      <c r="H40" s="93"/>
      <c r="I40" s="93"/>
    </row>
    <row r="41" spans="1:20" ht="13.15" x14ac:dyDescent="0.35">
      <c r="B41" s="102" t="s">
        <v>341</v>
      </c>
      <c r="E41" s="96"/>
      <c r="H41" s="93"/>
      <c r="I41" s="93"/>
    </row>
    <row r="42" spans="1:20" s="91" customFormat="1" ht="13.15" x14ac:dyDescent="0.35">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143.17699999999999</v>
      </c>
      <c r="Q42" s="319">
        <f>InpActive!Q120</f>
        <v>146.137</v>
      </c>
      <c r="R42" s="319">
        <f>InpActive!R120</f>
        <v>148.46799999999999</v>
      </c>
      <c r="S42" s="319">
        <f>InpActive!S120</f>
        <v>150.721</v>
      </c>
      <c r="T42" s="319">
        <f>InpActive!T120</f>
        <v>0</v>
      </c>
    </row>
    <row r="43" spans="1:20" ht="13.15" x14ac:dyDescent="0.35">
      <c r="B43" s="102"/>
      <c r="E43" s="315" t="str">
        <f>E39</f>
        <v xml:space="preserve">Total value of ODI </v>
      </c>
      <c r="F43" s="315">
        <f t="shared" ref="F43:T43" si="12">F39</f>
        <v>0</v>
      </c>
      <c r="G43" s="315" t="str">
        <f t="shared" si="12"/>
        <v>£m (nominal)</v>
      </c>
      <c r="H43" s="315">
        <f t="shared" si="12"/>
        <v>-23.586817337311118</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-23.586817337311118</v>
      </c>
      <c r="R43" s="315">
        <f t="shared" si="12"/>
        <v>0</v>
      </c>
      <c r="S43" s="315">
        <f t="shared" si="12"/>
        <v>0</v>
      </c>
      <c r="T43" s="315">
        <f t="shared" si="12"/>
        <v>0</v>
      </c>
    </row>
    <row r="44" spans="1:20" s="58" customFormat="1" ht="13.15" x14ac:dyDescent="0.35">
      <c r="A44" s="150"/>
      <c r="B44" s="151"/>
      <c r="C44" s="152"/>
      <c r="D44" s="116"/>
      <c r="E44" s="190" t="s">
        <v>342</v>
      </c>
      <c r="F44" s="190"/>
      <c r="G44" s="190" t="s">
        <v>182</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143.17699999999999</v>
      </c>
      <c r="Q44" s="344">
        <f t="shared" si="13"/>
        <v>122.55018266268888</v>
      </c>
      <c r="R44" s="344">
        <f t="shared" si="13"/>
        <v>148.46799999999999</v>
      </c>
      <c r="S44" s="344">
        <f t="shared" si="13"/>
        <v>150.721</v>
      </c>
      <c r="T44" s="344">
        <f t="shared" si="13"/>
        <v>0</v>
      </c>
    </row>
    <row r="45" spans="1:20" ht="13.15" x14ac:dyDescent="0.35">
      <c r="B45" s="102"/>
      <c r="E45" s="96"/>
      <c r="H45" s="93"/>
      <c r="I45" s="93"/>
    </row>
    <row r="46" spans="1:20" s="223" customFormat="1" ht="13.5" x14ac:dyDescent="0.45">
      <c r="A46" s="223"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Business retail</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ht="13.15" x14ac:dyDescent="0.35">
      <c r="B40" s="102"/>
      <c r="E40" s="96"/>
      <c r="H40" s="93"/>
      <c r="I40" s="93"/>
    </row>
    <row r="41" spans="1:20" ht="13.15" x14ac:dyDescent="0.35">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ht="13.15" x14ac:dyDescent="0.35">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ht="13.15" x14ac:dyDescent="0.35">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ht="13.15" x14ac:dyDescent="0.35">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ht="13.15" x14ac:dyDescent="0.35">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ht="13.15" x14ac:dyDescent="0.35">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ht="13.15" x14ac:dyDescent="0.35">
      <c r="B47" s="102"/>
      <c r="E47" s="96"/>
      <c r="H47" s="93"/>
      <c r="I47" s="93"/>
    </row>
    <row r="48" spans="1:20" ht="13.15" x14ac:dyDescent="0.35">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ht="13.15" x14ac:dyDescent="0.35">
      <c r="B49" s="102"/>
      <c r="E49" s="96"/>
      <c r="F49" s="96"/>
      <c r="G49" s="96"/>
      <c r="H49" s="96"/>
      <c r="I49" s="96"/>
      <c r="J49" s="94"/>
      <c r="K49" s="94"/>
      <c r="L49" s="94"/>
      <c r="M49" s="94"/>
      <c r="N49" s="94"/>
      <c r="O49" s="94"/>
      <c r="P49" s="94"/>
      <c r="Q49" s="94"/>
      <c r="R49" s="94"/>
      <c r="S49" s="94"/>
      <c r="T49" s="94"/>
    </row>
    <row r="50" spans="1:20" s="166" customFormat="1" ht="13.15" x14ac:dyDescent="0.35">
      <c r="A50" s="167"/>
      <c r="B50" s="168"/>
      <c r="C50" s="169"/>
      <c r="E50" s="166" t="s">
        <v>343</v>
      </c>
      <c r="G50" s="166" t="s">
        <v>182</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ht="13.15" x14ac:dyDescent="0.35">
      <c r="A51" s="167"/>
      <c r="B51" s="168"/>
      <c r="C51" s="169"/>
      <c r="E51" s="166" t="s">
        <v>344</v>
      </c>
      <c r="G51" s="166" t="s">
        <v>182</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ht="13.15" x14ac:dyDescent="0.35">
      <c r="A52" s="167"/>
      <c r="B52" s="168"/>
      <c r="C52" s="169"/>
      <c r="E52" s="166" t="s">
        <v>345</v>
      </c>
      <c r="G52" s="166" t="s">
        <v>182</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ht="13.15" x14ac:dyDescent="0.35">
      <c r="A53" s="167"/>
      <c r="B53" s="168"/>
      <c r="C53" s="169"/>
      <c r="E53" s="166" t="s">
        <v>346</v>
      </c>
      <c r="G53" s="166" t="s">
        <v>182</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ht="13.15" x14ac:dyDescent="0.35">
      <c r="A54" s="167"/>
      <c r="B54" s="168"/>
      <c r="C54" s="169"/>
      <c r="E54" s="166" t="s">
        <v>347</v>
      </c>
      <c r="G54" s="166" t="s">
        <v>182</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ht="13.15" x14ac:dyDescent="0.35">
      <c r="A55" s="167"/>
      <c r="B55" s="168"/>
      <c r="C55" s="169"/>
      <c r="E55" s="166" t="s">
        <v>627</v>
      </c>
      <c r="G55" s="166" t="s">
        <v>182</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ht="13.15" x14ac:dyDescent="0.35">
      <c r="A56" s="167"/>
      <c r="B56" s="168"/>
      <c r="C56" s="169"/>
    </row>
    <row r="57" spans="1:20" s="166" customFormat="1" ht="13.15" x14ac:dyDescent="0.35">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ht="13.15" x14ac:dyDescent="0.35">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ht="13.15" x14ac:dyDescent="0.35">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ht="13.15" x14ac:dyDescent="0.35">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ht="13.15" x14ac:dyDescent="0.35">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ht="13.15" x14ac:dyDescent="0.35">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ht="13.15" x14ac:dyDescent="0.35">
      <c r="A63" s="167"/>
      <c r="B63" s="168"/>
      <c r="C63" s="169"/>
    </row>
    <row r="64" spans="1:20" s="172" customFormat="1" ht="13.15" x14ac:dyDescent="0.35">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ht="13.15" x14ac:dyDescent="0.35">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ht="13.15" x14ac:dyDescent="0.35">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ht="13.15" x14ac:dyDescent="0.35">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ht="13.15" x14ac:dyDescent="0.35">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ht="13.15" x14ac:dyDescent="0.35">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ht="13.15" x14ac:dyDescent="0.35">
      <c r="A70" s="167"/>
      <c r="B70" s="168"/>
      <c r="C70" s="169"/>
    </row>
    <row r="71" spans="1:20" s="166" customFormat="1" ht="13.15" x14ac:dyDescent="0.35">
      <c r="A71" s="167"/>
      <c r="B71" s="168"/>
      <c r="C71" s="169"/>
      <c r="E71" s="166" t="s">
        <v>348</v>
      </c>
      <c r="G71" s="166" t="s">
        <v>182</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ht="13.15" x14ac:dyDescent="0.35">
      <c r="A72" s="167"/>
      <c r="B72" s="168"/>
      <c r="C72" s="169"/>
      <c r="E72" s="166" t="s">
        <v>349</v>
      </c>
      <c r="G72" s="166" t="s">
        <v>182</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ht="13.15" x14ac:dyDescent="0.35">
      <c r="A73" s="167"/>
      <c r="B73" s="168"/>
      <c r="C73" s="169"/>
      <c r="E73" s="166" t="s">
        <v>350</v>
      </c>
      <c r="G73" s="166" t="s">
        <v>182</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ht="13.15" x14ac:dyDescent="0.35">
      <c r="A74" s="167"/>
      <c r="B74" s="168"/>
      <c r="C74" s="169"/>
      <c r="E74" s="166" t="s">
        <v>351</v>
      </c>
      <c r="G74" s="166" t="s">
        <v>182</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ht="13.15" x14ac:dyDescent="0.35">
      <c r="A75" s="167"/>
      <c r="B75" s="168"/>
      <c r="C75" s="169"/>
      <c r="E75" s="166" t="s">
        <v>352</v>
      </c>
      <c r="G75" s="166" t="s">
        <v>182</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ht="13.15" x14ac:dyDescent="0.35">
      <c r="A76" s="167"/>
      <c r="B76" s="168"/>
      <c r="C76" s="169"/>
      <c r="E76" s="166" t="s">
        <v>628</v>
      </c>
      <c r="G76" s="166" t="s">
        <v>182</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ht="13.15" x14ac:dyDescent="0.35">
      <c r="A77" s="167"/>
      <c r="B77" s="168"/>
      <c r="C77" s="169"/>
    </row>
    <row r="78" spans="1:20" s="166" customFormat="1" ht="13.15" x14ac:dyDescent="0.35">
      <c r="A78" s="167"/>
      <c r="B78" s="168"/>
      <c r="C78" s="169"/>
      <c r="E78" s="166" t="s">
        <v>353</v>
      </c>
      <c r="G78" s="166" t="s">
        <v>182</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ht="13.15" x14ac:dyDescent="0.35">
      <c r="A79" s="167"/>
      <c r="B79" s="168"/>
      <c r="C79" s="169"/>
      <c r="E79" s="166" t="s">
        <v>354</v>
      </c>
      <c r="G79" s="166" t="s">
        <v>182</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ht="13.15" x14ac:dyDescent="0.35">
      <c r="A80" s="167"/>
      <c r="B80" s="168"/>
      <c r="C80" s="169"/>
      <c r="E80" s="166" t="s">
        <v>355</v>
      </c>
      <c r="G80" s="166" t="s">
        <v>182</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ht="13.15" x14ac:dyDescent="0.35">
      <c r="A81" s="167"/>
      <c r="B81" s="168"/>
      <c r="C81" s="169"/>
      <c r="E81" s="166" t="s">
        <v>356</v>
      </c>
      <c r="G81" s="166" t="s">
        <v>182</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ht="13.15" x14ac:dyDescent="0.35">
      <c r="A82" s="167"/>
      <c r="B82" s="168"/>
      <c r="C82" s="169"/>
      <c r="E82" s="166" t="s">
        <v>357</v>
      </c>
      <c r="G82" s="166" t="s">
        <v>182</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ht="13.15" x14ac:dyDescent="0.35">
      <c r="A83" s="167"/>
      <c r="B83" s="168"/>
      <c r="C83" s="169"/>
      <c r="E83" s="166" t="s">
        <v>629</v>
      </c>
      <c r="G83" s="166" t="s">
        <v>182</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ht="13.15" x14ac:dyDescent="0.35">
      <c r="A84" s="167"/>
      <c r="B84" s="168"/>
      <c r="C84" s="169"/>
    </row>
    <row r="85" spans="1:20" s="166" customFormat="1" ht="13.15" x14ac:dyDescent="0.35">
      <c r="A85" s="167"/>
      <c r="B85" s="168"/>
      <c r="C85" s="169"/>
      <c r="E85" s="166" t="s">
        <v>358</v>
      </c>
      <c r="G85" s="166" t="s">
        <v>191</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ht="13.15" x14ac:dyDescent="0.35">
      <c r="A86" s="167"/>
      <c r="B86" s="168"/>
      <c r="C86" s="169"/>
      <c r="E86" s="166" t="s">
        <v>359</v>
      </c>
      <c r="G86" s="166" t="s">
        <v>191</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ht="13.15" x14ac:dyDescent="0.35">
      <c r="A87" s="167"/>
      <c r="B87" s="168"/>
      <c r="C87" s="169"/>
      <c r="E87" s="166" t="s">
        <v>360</v>
      </c>
      <c r="G87" s="166" t="s">
        <v>191</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ht="13.15" x14ac:dyDescent="0.35">
      <c r="A88" s="167"/>
      <c r="B88" s="168"/>
      <c r="C88" s="169"/>
      <c r="E88" s="166" t="s">
        <v>361</v>
      </c>
      <c r="G88" s="166" t="s">
        <v>191</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ht="13.15" x14ac:dyDescent="0.35">
      <c r="A89" s="167"/>
      <c r="B89" s="168"/>
      <c r="C89" s="169"/>
      <c r="E89" s="166" t="s">
        <v>362</v>
      </c>
      <c r="G89" s="166" t="s">
        <v>191</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ht="13.15" x14ac:dyDescent="0.35">
      <c r="A90" s="167"/>
      <c r="B90" s="168"/>
      <c r="C90" s="169"/>
      <c r="E90" s="166" t="s">
        <v>630</v>
      </c>
      <c r="G90" s="166" t="s">
        <v>191</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ht="13.15" x14ac:dyDescent="0.35">
      <c r="A91" s="167"/>
      <c r="B91" s="168"/>
      <c r="C91" s="169"/>
    </row>
    <row r="92" spans="1:20" s="166" customFormat="1" ht="13.15" x14ac:dyDescent="0.35">
      <c r="A92" s="167"/>
      <c r="B92" s="168" t="s">
        <v>363</v>
      </c>
      <c r="C92" s="169"/>
    </row>
    <row r="93" spans="1:20" s="190" customFormat="1" ht="13.15" x14ac:dyDescent="0.35">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ht="13.15" x14ac:dyDescent="0.35">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ht="13.15" x14ac:dyDescent="0.35">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ht="13.15" x14ac:dyDescent="0.35">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ht="13.15" x14ac:dyDescent="0.35">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ht="13.15" x14ac:dyDescent="0.35">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ht="13.15" x14ac:dyDescent="0.35">
      <c r="B99" s="102"/>
      <c r="E99" s="96"/>
    </row>
    <row r="100" spans="1:20" s="223" customFormat="1" ht="13.5" x14ac:dyDescent="0.45">
      <c r="A100" s="223"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35"/>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1.9" x14ac:dyDescent="1.05">
      <c r="A1" s="231" t="str">
        <f ca="1" xml:space="preserve"> RIGHT(CELL("filename", $A$1), LEN(CELL("filename", $A$1)) - SEARCH("]", CELL("filename", $A$1)))</f>
        <v>Style guide</v>
      </c>
    </row>
    <row r="2" spans="1:11" ht="9" customHeight="1" x14ac:dyDescent="0.35"/>
    <row r="3" spans="1:11" ht="14.65" x14ac:dyDescent="0.5">
      <c r="A3" s="243" t="s">
        <v>44</v>
      </c>
      <c r="I3" s="235"/>
      <c r="K3" s="235"/>
    </row>
    <row r="4" spans="1:11" ht="9" customHeight="1" x14ac:dyDescent="0.35"/>
    <row r="5" spans="1:11" ht="13.5" x14ac:dyDescent="0.45">
      <c r="B5" s="244" t="s">
        <v>45</v>
      </c>
    </row>
    <row r="6" spans="1:11" x14ac:dyDescent="0.35">
      <c r="E6" s="245" t="s">
        <v>46</v>
      </c>
      <c r="G6" s="234" t="s">
        <v>47</v>
      </c>
    </row>
    <row r="7" spans="1:11" ht="9" customHeight="1" x14ac:dyDescent="0.35"/>
    <row r="8" spans="1:11" x14ac:dyDescent="0.35">
      <c r="E8" s="246" t="s">
        <v>48</v>
      </c>
      <c r="G8" s="234" t="s">
        <v>49</v>
      </c>
    </row>
    <row r="9" spans="1:11" ht="9" customHeight="1" x14ac:dyDescent="0.35"/>
    <row r="10" spans="1:11" x14ac:dyDescent="0.35">
      <c r="E10" s="247" t="s">
        <v>50</v>
      </c>
      <c r="G10" s="234" t="s">
        <v>51</v>
      </c>
    </row>
    <row r="11" spans="1:11" ht="9" customHeight="1" x14ac:dyDescent="0.35"/>
    <row r="12" spans="1:11" x14ac:dyDescent="0.35">
      <c r="E12" s="234" t="s">
        <v>52</v>
      </c>
    </row>
    <row r="13" spans="1:11" x14ac:dyDescent="0.35">
      <c r="E13" s="234" t="s">
        <v>53</v>
      </c>
    </row>
    <row r="14" spans="1:11" ht="9" customHeight="1" x14ac:dyDescent="0.35"/>
    <row r="15" spans="1:11" x14ac:dyDescent="0.35">
      <c r="E15" s="248" t="s">
        <v>54</v>
      </c>
      <c r="G15" s="234" t="s">
        <v>55</v>
      </c>
    </row>
    <row r="16" spans="1:11" ht="9" customHeight="1" x14ac:dyDescent="0.35"/>
    <row r="17" spans="1:7" ht="13.5" x14ac:dyDescent="0.45">
      <c r="B17" s="244" t="s">
        <v>56</v>
      </c>
    </row>
    <row r="18" spans="1:7" ht="6" customHeight="1" x14ac:dyDescent="0.45">
      <c r="B18" s="244"/>
    </row>
    <row r="19" spans="1:7" x14ac:dyDescent="0.35">
      <c r="E19" s="232" t="s">
        <v>57</v>
      </c>
      <c r="G19" s="234" t="s">
        <v>58</v>
      </c>
    </row>
    <row r="20" spans="1:7" ht="9" customHeight="1" x14ac:dyDescent="0.35"/>
    <row r="21" spans="1:7" x14ac:dyDescent="0.35">
      <c r="E21" s="310" t="s">
        <v>59</v>
      </c>
      <c r="G21" s="234" t="s">
        <v>60</v>
      </c>
    </row>
    <row r="22" spans="1:7" ht="13.5" x14ac:dyDescent="0.45">
      <c r="B22" s="283" t="s">
        <v>61</v>
      </c>
    </row>
    <row r="23" spans="1:7" ht="13.5" x14ac:dyDescent="0.45">
      <c r="E23" s="224" t="s">
        <v>62</v>
      </c>
      <c r="G23" s="234" t="s">
        <v>63</v>
      </c>
    </row>
    <row r="24" spans="1:7" ht="9" customHeight="1" x14ac:dyDescent="0.35"/>
    <row r="25" spans="1:7" ht="13.5" x14ac:dyDescent="0.45">
      <c r="E25" s="223" t="s">
        <v>64</v>
      </c>
      <c r="G25" s="234" t="s">
        <v>65</v>
      </c>
    </row>
    <row r="26" spans="1:7" ht="9" customHeight="1" x14ac:dyDescent="0.35"/>
    <row r="27" spans="1:7" ht="9" customHeight="1" x14ac:dyDescent="0.35"/>
    <row r="28" spans="1:7" ht="14.65" x14ac:dyDescent="0.5">
      <c r="A28" s="235" t="s">
        <v>66</v>
      </c>
      <c r="E28" s="249"/>
    </row>
    <row r="29" spans="1:7" ht="9" customHeight="1" x14ac:dyDescent="0.35"/>
    <row r="30" spans="1:7" x14ac:dyDescent="0.35">
      <c r="E30" s="225"/>
      <c r="G30" s="234" t="s">
        <v>67</v>
      </c>
    </row>
    <row r="31" spans="1:7" ht="9" customHeight="1" x14ac:dyDescent="0.35"/>
    <row r="32" spans="1:7" x14ac:dyDescent="0.35">
      <c r="E32" s="233"/>
      <c r="G32" s="234" t="s">
        <v>68</v>
      </c>
    </row>
    <row r="33" spans="1:7" ht="9" customHeight="1" x14ac:dyDescent="0.35"/>
    <row r="34" spans="1:7" x14ac:dyDescent="0.35">
      <c r="E34" s="226"/>
      <c r="G34" s="234" t="s">
        <v>69</v>
      </c>
    </row>
    <row r="35" spans="1:7" ht="9" customHeight="1" x14ac:dyDescent="0.35"/>
    <row r="36" spans="1:7" x14ac:dyDescent="0.35">
      <c r="E36" s="227"/>
      <c r="G36" s="234" t="s">
        <v>70</v>
      </c>
    </row>
    <row r="37" spans="1:7" ht="9" customHeight="1" x14ac:dyDescent="0.35"/>
    <row r="38" spans="1:7" s="223" customFormat="1" ht="13.5" x14ac:dyDescent="0.45">
      <c r="A38" s="223"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Dummy control</v>
      </c>
      <c r="B1" s="141"/>
      <c r="C1" s="142"/>
      <c r="D1" s="138"/>
      <c r="E1" s="138"/>
      <c r="F1" s="138"/>
      <c r="G1" s="138"/>
      <c r="H1" s="446" t="str">
        <f>InpActive!F9</f>
        <v>Thames Water</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50.227723887126004</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ht="13.15" x14ac:dyDescent="0.35">
      <c r="A25" s="107"/>
      <c r="B25" s="102"/>
      <c r="C25" s="108"/>
      <c r="E25" s="166" t="str">
        <f>E24</f>
        <v>Allowed revenue starting point in FD - dummy control</v>
      </c>
      <c r="F25" s="96"/>
      <c r="G25" s="96"/>
      <c r="H25" s="166">
        <f xml:space="preserve"> SUM( J24:T24 )</f>
        <v>50.227723887126004</v>
      </c>
      <c r="I25" s="90"/>
      <c r="J25" s="90"/>
      <c r="K25" s="90"/>
      <c r="L25" s="90"/>
      <c r="M25" s="90"/>
      <c r="N25" s="90"/>
      <c r="O25" s="90"/>
      <c r="P25" s="90"/>
      <c r="Q25" s="90"/>
      <c r="R25" s="90"/>
      <c r="S25" s="90"/>
      <c r="T25" s="90"/>
    </row>
    <row r="26" spans="1:20" s="93" customFormat="1" ht="13.15" x14ac:dyDescent="0.35">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ht="13.15" x14ac:dyDescent="0.35">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4.6399999999999997</v>
      </c>
      <c r="Q27" s="319">
        <f xml:space="preserve"> InpActive!Q$147</f>
        <v>2.78</v>
      </c>
      <c r="R27" s="319">
        <f xml:space="preserve"> InpActive!R$147</f>
        <v>-11.51</v>
      </c>
      <c r="S27" s="319">
        <f xml:space="preserve"> InpActive!S$147</f>
        <v>-10.68</v>
      </c>
      <c r="T27" s="319">
        <f xml:space="preserve"> InpActive!T$147</f>
        <v>0</v>
      </c>
    </row>
    <row r="28" spans="1:20" ht="13.15" x14ac:dyDescent="0.35">
      <c r="A28" s="107"/>
      <c r="B28" s="102"/>
      <c r="C28" s="108"/>
      <c r="E28" s="204" t="s">
        <v>323</v>
      </c>
      <c r="F28" s="204"/>
      <c r="G28" s="204" t="s">
        <v>160</v>
      </c>
      <c r="H28" s="204"/>
      <c r="I28" s="204"/>
      <c r="J28" s="204">
        <f>J27/100</f>
        <v>0</v>
      </c>
      <c r="K28" s="204">
        <f t="shared" ref="K28:T28" si="3">K27/100</f>
        <v>0</v>
      </c>
      <c r="L28" s="204">
        <f t="shared" si="3"/>
        <v>0</v>
      </c>
      <c r="M28" s="204">
        <f t="shared" si="3"/>
        <v>0</v>
      </c>
      <c r="N28" s="204">
        <f t="shared" si="3"/>
        <v>0</v>
      </c>
      <c r="O28" s="204">
        <f t="shared" si="3"/>
        <v>0</v>
      </c>
      <c r="P28" s="204">
        <f t="shared" si="3"/>
        <v>4.6399999999999997E-2</v>
      </c>
      <c r="Q28" s="204">
        <f t="shared" si="3"/>
        <v>2.7799999999999998E-2</v>
      </c>
      <c r="R28" s="204">
        <f t="shared" si="3"/>
        <v>-0.11509999999999999</v>
      </c>
      <c r="S28" s="204">
        <f t="shared" si="3"/>
        <v>-0.10679999999999999</v>
      </c>
      <c r="T28" s="204">
        <f t="shared" si="3"/>
        <v>0</v>
      </c>
    </row>
    <row r="29" spans="1:20" s="91" customFormat="1" ht="13.15" x14ac:dyDescent="0.35">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04"/>
      <c r="B30" s="105"/>
      <c r="C30" s="106"/>
      <c r="E30" s="166" t="s">
        <v>324</v>
      </c>
      <c r="F30" s="166"/>
      <c r="G30" s="166" t="s">
        <v>182</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50.979495245586264</v>
      </c>
      <c r="P30" s="166">
        <f xml:space="preserve"> IF(P26=1, $H25 * (1+P29+P28), O30 *  (1+P29+P28))</f>
        <v>53.626858084404056</v>
      </c>
      <c r="Q30" s="166">
        <f t="shared" si="4"/>
        <v>56.838069737275276</v>
      </c>
      <c r="R30" s="166">
        <f t="shared" si="4"/>
        <v>50.296007910514895</v>
      </c>
      <c r="S30" s="166">
        <f t="shared" si="4"/>
        <v>44.924394265671907</v>
      </c>
      <c r="T30" s="166">
        <f t="shared" si="4"/>
        <v>44.924394265671907</v>
      </c>
    </row>
    <row r="31" spans="1:20" ht="13.15" x14ac:dyDescent="0.35">
      <c r="B31" s="102"/>
      <c r="E31" s="96"/>
      <c r="O31" s="269"/>
      <c r="P31" s="269"/>
      <c r="Q31" s="269"/>
      <c r="R31" s="269"/>
      <c r="S31" s="269"/>
      <c r="T31" s="2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50.979495245586264</v>
      </c>
      <c r="P49" s="174">
        <f t="shared" si="14"/>
        <v>53.626858084404056</v>
      </c>
      <c r="Q49" s="174">
        <f t="shared" si="14"/>
        <v>56.838069737275276</v>
      </c>
      <c r="R49" s="174">
        <f t="shared" si="14"/>
        <v>50.296007910514895</v>
      </c>
      <c r="S49" s="174">
        <f t="shared" si="14"/>
        <v>44.924394265671907</v>
      </c>
      <c r="T49" s="174">
        <f t="shared" si="14"/>
        <v>44.924394265671907</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301.58921950912429</v>
      </c>
      <c r="J51" s="174">
        <f xml:space="preserve"> J49 + J50</f>
        <v>0</v>
      </c>
      <c r="K51" s="174">
        <f t="shared" ref="K51:T51" si="16" xml:space="preserve"> K49 + K50</f>
        <v>0</v>
      </c>
      <c r="L51" s="174">
        <f t="shared" si="16"/>
        <v>0</v>
      </c>
      <c r="M51" s="174">
        <f t="shared" si="16"/>
        <v>0</v>
      </c>
      <c r="N51" s="174">
        <f t="shared" si="16"/>
        <v>0</v>
      </c>
      <c r="O51" s="174">
        <f t="shared" si="16"/>
        <v>50.979495245586264</v>
      </c>
      <c r="P51" s="174">
        <f t="shared" si="16"/>
        <v>53.626858084404056</v>
      </c>
      <c r="Q51" s="174">
        <f t="shared" si="16"/>
        <v>56.838069737275276</v>
      </c>
      <c r="R51" s="174">
        <f t="shared" si="16"/>
        <v>50.296007910514895</v>
      </c>
      <c r="S51" s="174">
        <f t="shared" si="16"/>
        <v>44.924394265671907</v>
      </c>
      <c r="T51" s="174">
        <f t="shared" si="16"/>
        <v>44.924394265671907</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301.58921950912429</v>
      </c>
      <c r="I54" s="166">
        <f t="shared" si="17"/>
        <v>0</v>
      </c>
      <c r="J54" s="166">
        <f t="shared" si="17"/>
        <v>0</v>
      </c>
      <c r="K54" s="166">
        <f t="shared" si="17"/>
        <v>0</v>
      </c>
      <c r="L54" s="166">
        <f t="shared" si="17"/>
        <v>0</v>
      </c>
      <c r="M54" s="166">
        <f t="shared" si="17"/>
        <v>0</v>
      </c>
      <c r="N54" s="166">
        <f t="shared" si="17"/>
        <v>0</v>
      </c>
      <c r="O54" s="166">
        <f t="shared" si="17"/>
        <v>50.979495245586264</v>
      </c>
      <c r="P54" s="166">
        <f t="shared" si="17"/>
        <v>53.626858084404056</v>
      </c>
      <c r="Q54" s="166">
        <f t="shared" si="17"/>
        <v>56.838069737275276</v>
      </c>
      <c r="R54" s="166">
        <f t="shared" si="17"/>
        <v>50.296007910514895</v>
      </c>
      <c r="S54" s="166">
        <f t="shared" si="17"/>
        <v>44.924394265671907</v>
      </c>
      <c r="T54" s="166">
        <f t="shared" si="17"/>
        <v>44.924394265671907</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5.1929953917050575E-2</v>
      </c>
      <c r="Q55" s="210">
        <f t="shared" si="18"/>
        <v>5.9880659945004577E-2</v>
      </c>
      <c r="R55" s="210">
        <f t="shared" si="18"/>
        <v>-0.11509999999999998</v>
      </c>
      <c r="S55" s="210">
        <f t="shared" si="18"/>
        <v>-0.1067999999999999</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5.1929953917050575E-2</v>
      </c>
      <c r="Q60" s="212">
        <f t="shared" si="21"/>
        <v>5.9880659945004577E-2</v>
      </c>
      <c r="R60" s="212">
        <f t="shared" si="21"/>
        <v>-0.11509999999999998</v>
      </c>
      <c r="S60" s="212">
        <f t="shared" si="21"/>
        <v>-0.1067999999999999</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ht="13.15" x14ac:dyDescent="0.35">
      <c r="A66" s="167"/>
      <c r="B66" s="168"/>
      <c r="E66" s="338" t="s">
        <v>364</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4.6399999999999997E-2</v>
      </c>
      <c r="Q66" s="284">
        <f t="shared" si="25"/>
        <v>2.7799999999999998E-2</v>
      </c>
      <c r="R66" s="284">
        <f t="shared" si="25"/>
        <v>-0.11509999999999999</v>
      </c>
      <c r="S66" s="284">
        <f t="shared" si="25"/>
        <v>-0.10679999999999999</v>
      </c>
      <c r="T66" s="284">
        <f t="shared" si="25"/>
        <v>0</v>
      </c>
    </row>
    <row r="67" spans="1:20" s="179" customFormat="1" ht="13.15" x14ac:dyDescent="0.35">
      <c r="A67" s="178"/>
      <c r="B67" s="168"/>
      <c r="E67" s="346" t="s">
        <v>364</v>
      </c>
      <c r="G67" s="180" t="s">
        <v>163</v>
      </c>
      <c r="J67" s="190">
        <f>J66*100</f>
        <v>0</v>
      </c>
      <c r="K67" s="190">
        <f t="shared" ref="K67:T67" si="26">K66*100</f>
        <v>0</v>
      </c>
      <c r="L67" s="190">
        <f t="shared" si="26"/>
        <v>0</v>
      </c>
      <c r="M67" s="190">
        <f t="shared" si="26"/>
        <v>0</v>
      </c>
      <c r="N67" s="190">
        <f t="shared" si="26"/>
        <v>0</v>
      </c>
      <c r="O67" s="190">
        <f t="shared" si="26"/>
        <v>0</v>
      </c>
      <c r="P67" s="190">
        <f t="shared" si="26"/>
        <v>4.6399999999999997</v>
      </c>
      <c r="Q67" s="190">
        <f t="shared" si="26"/>
        <v>2.78</v>
      </c>
      <c r="R67" s="190">
        <f t="shared" si="26"/>
        <v>-11.51</v>
      </c>
      <c r="S67" s="190">
        <f t="shared" si="26"/>
        <v>-10.68</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3.15" zeroHeight="1" x14ac:dyDescent="0.35"/>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35">
      <c r="A1" s="140" t="str">
        <f ca="1" xml:space="preserve"> RIGHT(CELL("filename", $A$1), LEN(CELL("filename", $A$1)) - SEARCH("]", CELL("filename", $A$1)))</f>
        <v>Outputs</v>
      </c>
      <c r="B1" s="153"/>
      <c r="C1" s="154"/>
      <c r="D1" s="155"/>
      <c r="E1" s="138"/>
      <c r="F1" s="138"/>
      <c r="G1" s="138"/>
      <c r="H1" s="446" t="str">
        <f>InpActive!F9</f>
        <v>Thames Water</v>
      </c>
      <c r="I1" s="109"/>
      <c r="J1" s="109"/>
      <c r="K1" s="109"/>
      <c r="L1" s="109"/>
      <c r="M1" s="109"/>
      <c r="N1" s="109"/>
      <c r="O1" s="109"/>
      <c r="P1" s="109"/>
      <c r="Q1" s="109"/>
      <c r="R1" s="109"/>
      <c r="S1" s="109"/>
      <c r="T1" s="109"/>
    </row>
    <row r="2" spans="1:20" s="15" customFormat="1"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408</v>
      </c>
    </row>
    <row r="8" spans="1:20" x14ac:dyDescent="0.35"/>
    <row r="9" spans="1:20" x14ac:dyDescent="0.35">
      <c r="C9" s="102" t="s">
        <v>409</v>
      </c>
    </row>
    <row r="10" spans="1:20" x14ac:dyDescent="0.35">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3.9</v>
      </c>
      <c r="Q10" s="363">
        <f xml:space="preserve"> 'Water resources'!Q$67</f>
        <v>-1.02</v>
      </c>
      <c r="R10" s="363">
        <f xml:space="preserve"> 'Water resources'!R$67</f>
        <v>0.70000000000000007</v>
      </c>
      <c r="S10" s="363">
        <f xml:space="preserve"> 'Water resources'!S$67</f>
        <v>3.5100000000000007</v>
      </c>
      <c r="T10" s="319">
        <f xml:space="preserve"> 'Water resources'!T$67</f>
        <v>0</v>
      </c>
    </row>
    <row r="11" spans="1:20" x14ac:dyDescent="0.35">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7.44</v>
      </c>
      <c r="Q11" s="252">
        <f xml:space="preserve"> 'Water network plus'!Q$67</f>
        <v>-2.34</v>
      </c>
      <c r="R11" s="252">
        <f xml:space="preserve"> 'Water network plus'!R$67</f>
        <v>3.7000000000000006</v>
      </c>
      <c r="S11" s="252">
        <f xml:space="preserve"> 'Water network plus'!S$67</f>
        <v>0.21999999999999997</v>
      </c>
      <c r="T11" s="172">
        <f xml:space="preserve"> 'Water network plus'!T$67</f>
        <v>0</v>
      </c>
    </row>
    <row r="12" spans="1:20" x14ac:dyDescent="0.35">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-0.81000000000000016</v>
      </c>
      <c r="Q12" s="252">
        <f xml:space="preserve"> 'Wastewater network plus'!Q$67</f>
        <v>-4.6100000000000003</v>
      </c>
      <c r="R12" s="252">
        <f xml:space="preserve"> 'Wastewater network plus'!R$67</f>
        <v>2.6599999999999997</v>
      </c>
      <c r="S12" s="252">
        <f xml:space="preserve"> 'Wastewater network plus'!S$67</f>
        <v>-0.16</v>
      </c>
      <c r="T12" s="172">
        <f xml:space="preserve"> 'Wastewater network plus'!T$67</f>
        <v>0</v>
      </c>
    </row>
    <row r="13" spans="1:20" x14ac:dyDescent="0.35">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4.6399999999999997</v>
      </c>
      <c r="Q13" s="252">
        <f xml:space="preserve"> 'Dummy control'!Q$67</f>
        <v>2.78</v>
      </c>
      <c r="R13" s="252">
        <f xml:space="preserve"> 'Dummy control'!R$67</f>
        <v>-11.51</v>
      </c>
      <c r="S13" s="402">
        <f xml:space="preserve"> 'Dummy control'!S$67</f>
        <v>-10.68</v>
      </c>
      <c r="T13" s="172">
        <f xml:space="preserve"> 'Dummy control'!T$67</f>
        <v>0</v>
      </c>
    </row>
    <row r="14" spans="1:20" x14ac:dyDescent="0.35">
      <c r="C14" s="158"/>
      <c r="D14" s="159"/>
      <c r="F14" s="172"/>
      <c r="H14" s="172"/>
      <c r="I14" s="172"/>
      <c r="P14" s="253"/>
      <c r="Q14" s="253"/>
      <c r="R14" s="253"/>
      <c r="S14" s="253"/>
    </row>
    <row r="15" spans="1:20" x14ac:dyDescent="0.35">
      <c r="C15" s="102" t="s">
        <v>101</v>
      </c>
      <c r="D15" s="159"/>
      <c r="F15" s="172"/>
      <c r="H15" s="172"/>
      <c r="I15" s="172"/>
      <c r="P15" s="253"/>
      <c r="Q15" s="253"/>
      <c r="R15" s="253"/>
      <c r="S15" s="253"/>
    </row>
    <row r="16" spans="1:20" x14ac:dyDescent="0.35">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160.76704184397599</v>
      </c>
      <c r="Q16" s="326">
        <f xml:space="preserve"> 'Bioresources (sludge)'!Q$49</f>
        <v>160.09850443441158</v>
      </c>
      <c r="R16" s="326">
        <f xml:space="preserve"> 'Bioresources (sludge)'!R$49</f>
        <v>162.47886486695199</v>
      </c>
      <c r="S16" s="326">
        <f xml:space="preserve"> 'Bioresources (sludge)'!S$49</f>
        <v>163.33277190183199</v>
      </c>
      <c r="T16" s="352">
        <f xml:space="preserve"> 'Bioresources (sludge)'!T$49</f>
        <v>0</v>
      </c>
    </row>
    <row r="17" spans="1:20" x14ac:dyDescent="0.35">
      <c r="C17" s="157"/>
      <c r="F17" s="172"/>
      <c r="H17" s="172"/>
      <c r="I17" s="172"/>
      <c r="P17" s="253"/>
      <c r="Q17" s="253"/>
      <c r="R17" s="253"/>
      <c r="S17" s="253"/>
    </row>
    <row r="18" spans="1:20" x14ac:dyDescent="0.35">
      <c r="C18" s="158" t="s">
        <v>97</v>
      </c>
      <c r="F18" s="172"/>
      <c r="H18" s="172"/>
      <c r="I18" s="172"/>
      <c r="P18" s="253"/>
      <c r="Q18" s="253"/>
      <c r="R18" s="253"/>
      <c r="S18" s="253"/>
    </row>
    <row r="19" spans="1:20" x14ac:dyDescent="0.35">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143.17699999999999</v>
      </c>
      <c r="Q19" s="252">
        <f xml:space="preserve"> 'Residential retail'!Q$44</f>
        <v>122.55018266268888</v>
      </c>
      <c r="R19" s="252">
        <f xml:space="preserve"> 'Residential retail'!R$44</f>
        <v>148.46799999999999</v>
      </c>
      <c r="S19" s="252">
        <f xml:space="preserve"> 'Residential retail'!S$44</f>
        <v>150.721</v>
      </c>
      <c r="T19" s="239">
        <f xml:space="preserve"> 'Residential retail'!T$44</f>
        <v>0</v>
      </c>
    </row>
    <row r="20" spans="1:20" x14ac:dyDescent="0.35">
      <c r="C20" s="158"/>
      <c r="F20" s="172"/>
      <c r="H20" s="172"/>
      <c r="I20" s="172"/>
    </row>
    <row r="21" spans="1:20" x14ac:dyDescent="0.35">
      <c r="C21" s="158" t="s">
        <v>99</v>
      </c>
      <c r="F21" s="172"/>
      <c r="H21" s="172"/>
      <c r="I21" s="172"/>
      <c r="J21" s="111"/>
      <c r="K21" s="111"/>
      <c r="L21" s="111"/>
      <c r="M21" s="111"/>
      <c r="N21" s="111"/>
      <c r="O21" s="111"/>
      <c r="P21" s="111"/>
      <c r="Q21" s="111"/>
      <c r="R21" s="111"/>
      <c r="S21" s="111"/>
      <c r="T21" s="111"/>
    </row>
    <row r="22" spans="1:20" x14ac:dyDescent="0.35">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35">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35">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35">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35">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35">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35">
      <c r="C28" s="157"/>
    </row>
    <row r="29" spans="1:20" s="224" customFormat="1" ht="13.5" x14ac:dyDescent="0.45">
      <c r="A29" s="361" t="s">
        <v>410</v>
      </c>
    </row>
    <row r="30" spans="1:20" s="7" customFormat="1" x14ac:dyDescent="0.35">
      <c r="A30" s="21"/>
      <c r="B30" s="107"/>
      <c r="C30" s="102"/>
      <c r="D30" s="156"/>
      <c r="E30" s="93"/>
      <c r="F30" s="93"/>
      <c r="G30" s="93"/>
      <c r="H30" s="31"/>
      <c r="I30" s="31"/>
      <c r="J30" s="31"/>
      <c r="K30" s="31"/>
      <c r="L30" s="31"/>
      <c r="M30" s="31"/>
      <c r="N30" s="31"/>
      <c r="O30" s="31"/>
      <c r="P30" s="31"/>
      <c r="Q30" s="31"/>
      <c r="R30" s="31"/>
      <c r="S30" s="31"/>
      <c r="T30" s="31"/>
    </row>
    <row r="31" spans="1:20" x14ac:dyDescent="0.35">
      <c r="C31" s="353" t="s">
        <v>318</v>
      </c>
      <c r="D31" s="282"/>
      <c r="F31" s="354"/>
    </row>
    <row r="32" spans="1:20" s="172" customFormat="1" x14ac:dyDescent="0.35">
      <c r="A32" s="170"/>
      <c r="B32" s="171"/>
      <c r="E32" s="319" t="str">
        <f xml:space="preserve"> InpActive!E$12</f>
        <v>Reporting year</v>
      </c>
      <c r="F32" s="319" t="str">
        <f xml:space="preserve"> InpActive!F$12</f>
        <v>2020-21</v>
      </c>
      <c r="G32" s="319" t="str">
        <f xml:space="preserve"> InpActive!G$12</f>
        <v>Financial year</v>
      </c>
      <c r="H32" s="319"/>
      <c r="I32" s="319"/>
      <c r="O32" s="319"/>
      <c r="P32" s="319"/>
      <c r="Q32" s="319"/>
      <c r="R32" s="319"/>
      <c r="S32" s="319"/>
    </row>
    <row r="33" spans="1:20" s="166" customFormat="1" x14ac:dyDescent="0.35">
      <c r="A33" s="167"/>
      <c r="B33" s="168"/>
      <c r="C33" s="169"/>
      <c r="E33" s="315" t="s">
        <v>319</v>
      </c>
      <c r="F33" s="355">
        <f>_xlfn.NUMBERVALUE(CONCATENATE(20,RIGHT(F32,2)))</f>
        <v>2021</v>
      </c>
      <c r="G33" s="315"/>
      <c r="H33" s="315"/>
      <c r="I33" s="315"/>
      <c r="O33" s="315"/>
      <c r="P33" s="315"/>
      <c r="Q33" s="315"/>
      <c r="R33" s="315"/>
      <c r="S33" s="315"/>
    </row>
    <row r="34" spans="1:20" s="172" customFormat="1" x14ac:dyDescent="0.35">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35">
      <c r="A35" s="167"/>
      <c r="B35" s="168"/>
      <c r="C35" s="169"/>
      <c r="E35" s="315" t="s">
        <v>320</v>
      </c>
      <c r="F35" s="315"/>
      <c r="G35" s="315" t="s">
        <v>247</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1</v>
      </c>
      <c r="P35" s="316">
        <f t="shared" si="0"/>
        <v>0</v>
      </c>
      <c r="Q35" s="316">
        <f t="shared" si="0"/>
        <v>0</v>
      </c>
      <c r="R35" s="316">
        <f t="shared" si="0"/>
        <v>0</v>
      </c>
      <c r="S35" s="316">
        <f t="shared" si="0"/>
        <v>0</v>
      </c>
      <c r="T35" s="316">
        <f t="shared" si="0"/>
        <v>0</v>
      </c>
    </row>
    <row r="36" spans="1:20" s="166" customFormat="1" x14ac:dyDescent="0.35">
      <c r="A36" s="167"/>
      <c r="B36" s="168"/>
      <c r="C36" s="169"/>
      <c r="E36" s="315" t="s">
        <v>411</v>
      </c>
      <c r="F36" s="315"/>
      <c r="G36" s="315" t="s">
        <v>247</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1</v>
      </c>
      <c r="Q36" s="316">
        <f t="shared" ref="Q36:T36" si="2" xml:space="preserve"> IF( P35 = 1, 1, 0 )</f>
        <v>0</v>
      </c>
      <c r="R36" s="316">
        <f t="shared" si="2"/>
        <v>0</v>
      </c>
      <c r="S36" s="316">
        <f t="shared" si="2"/>
        <v>0</v>
      </c>
      <c r="T36" s="316">
        <f t="shared" si="2"/>
        <v>0</v>
      </c>
    </row>
    <row r="37" spans="1:20" x14ac:dyDescent="0.35">
      <c r="C37" s="158"/>
      <c r="D37" s="282"/>
      <c r="E37" s="353"/>
      <c r="F37" s="358"/>
      <c r="G37" s="354"/>
      <c r="H37" s="318"/>
      <c r="I37" s="318"/>
      <c r="O37" s="318"/>
      <c r="P37" s="318"/>
      <c r="Q37" s="318"/>
      <c r="R37" s="318"/>
      <c r="S37" s="318"/>
    </row>
    <row r="38" spans="1:20" x14ac:dyDescent="0.35">
      <c r="C38" s="353" t="s">
        <v>412</v>
      </c>
      <c r="D38" s="282"/>
      <c r="E38" s="353"/>
      <c r="F38" s="358"/>
      <c r="G38" s="354"/>
      <c r="H38" s="318"/>
      <c r="I38" s="318"/>
      <c r="O38" s="318"/>
      <c r="P38" s="318"/>
      <c r="Q38" s="318"/>
      <c r="R38" s="318"/>
      <c r="S38" s="318"/>
    </row>
    <row r="39" spans="1:20" x14ac:dyDescent="0.35">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35">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35">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35">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35">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35">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35">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35">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35">
      <c r="C47" s="157"/>
      <c r="E47" s="172"/>
      <c r="F47" s="239"/>
      <c r="G47" s="172"/>
      <c r="H47" s="252"/>
      <c r="I47" s="172"/>
      <c r="J47" s="252"/>
      <c r="K47" s="252"/>
      <c r="L47" s="252"/>
      <c r="M47" s="252"/>
      <c r="N47" s="252"/>
      <c r="O47" s="252"/>
      <c r="P47" s="252"/>
      <c r="Q47" s="252"/>
      <c r="R47" s="252"/>
      <c r="S47" s="252"/>
      <c r="T47" s="252"/>
    </row>
    <row r="48" spans="1:20" x14ac:dyDescent="0.35">
      <c r="C48" s="157"/>
      <c r="E48" s="315" t="s">
        <v>307</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35">
      <c r="C49" s="157"/>
      <c r="E49" s="315" t="s">
        <v>308</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35">
      <c r="C50" s="157"/>
      <c r="E50" s="315" t="s">
        <v>309</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35">
      <c r="C51" s="157"/>
      <c r="E51" s="315" t="s">
        <v>310</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35">
      <c r="C52" s="157"/>
      <c r="E52" s="315" t="s">
        <v>313</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35">
      <c r="C53" s="157"/>
      <c r="E53" s="315" t="s">
        <v>314</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35">
      <c r="C54" s="157"/>
      <c r="E54" s="315" t="s">
        <v>311</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35">
      <c r="C55" s="157"/>
      <c r="E55" s="315" t="s">
        <v>645</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35">
      <c r="O56" s="409"/>
    </row>
    <row r="57" spans="1:20" s="223" customFormat="1" ht="13.5" x14ac:dyDescent="0.45">
      <c r="A57" s="223" t="s">
        <v>221</v>
      </c>
    </row>
    <row r="58" spans="1:20" x14ac:dyDescent="0.35"/>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dimension ref="A1:J25"/>
  <sheetViews>
    <sheetView workbookViewId="0"/>
  </sheetViews>
  <sheetFormatPr defaultRowHeight="13.5" x14ac:dyDescent="0.35"/>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35">
      <c r="A1" s="410"/>
      <c r="C1" t="s">
        <v>788</v>
      </c>
    </row>
    <row r="2" spans="1:10" x14ac:dyDescent="0.35">
      <c r="A2" t="s">
        <v>365</v>
      </c>
      <c r="B2" t="s">
        <v>22</v>
      </c>
      <c r="C2" t="s">
        <v>422</v>
      </c>
      <c r="D2" t="s">
        <v>106</v>
      </c>
      <c r="E2" t="s">
        <v>423</v>
      </c>
      <c r="F2" t="s">
        <v>113</v>
      </c>
      <c r="G2" t="s">
        <v>374</v>
      </c>
      <c r="H2" t="s">
        <v>377</v>
      </c>
      <c r="I2" t="s">
        <v>380</v>
      </c>
      <c r="J2" t="s">
        <v>383</v>
      </c>
    </row>
    <row r="4" spans="1:10" x14ac:dyDescent="0.35">
      <c r="B4" s="410" t="s">
        <v>647</v>
      </c>
      <c r="C4" t="s">
        <v>523</v>
      </c>
      <c r="D4" t="s">
        <v>495</v>
      </c>
      <c r="E4" t="s">
        <v>429</v>
      </c>
      <c r="F4" s="397">
        <f>Outputs!O10</f>
        <v>0</v>
      </c>
      <c r="G4" s="397">
        <f>Outputs!P10</f>
        <v>3.9</v>
      </c>
      <c r="H4" s="397">
        <f>Outputs!Q10</f>
        <v>-1.02</v>
      </c>
      <c r="I4" s="397">
        <f>Outputs!R10</f>
        <v>0.70000000000000007</v>
      </c>
      <c r="J4" s="397">
        <f>Outputs!S10</f>
        <v>3.5100000000000007</v>
      </c>
    </row>
    <row r="5" spans="1:10" x14ac:dyDescent="0.35">
      <c r="B5" s="410" t="s">
        <v>648</v>
      </c>
      <c r="C5" t="s">
        <v>529</v>
      </c>
      <c r="D5" t="s">
        <v>495</v>
      </c>
      <c r="E5" t="s">
        <v>429</v>
      </c>
      <c r="F5" s="397">
        <f>Outputs!O11</f>
        <v>0</v>
      </c>
      <c r="G5" s="397">
        <f>Outputs!P11</f>
        <v>7.44</v>
      </c>
      <c r="H5" s="397">
        <f>Outputs!Q11</f>
        <v>-2.34</v>
      </c>
      <c r="I5" s="397">
        <f>Outputs!R11</f>
        <v>3.7000000000000006</v>
      </c>
      <c r="J5" s="397">
        <f>Outputs!S11</f>
        <v>0.21999999999999997</v>
      </c>
    </row>
    <row r="6" spans="1:10" x14ac:dyDescent="0.35">
      <c r="B6" s="410" t="s">
        <v>649</v>
      </c>
      <c r="C6" t="s">
        <v>535</v>
      </c>
      <c r="D6" t="s">
        <v>495</v>
      </c>
      <c r="E6" t="s">
        <v>429</v>
      </c>
      <c r="F6" s="397">
        <f>Outputs!O12</f>
        <v>0</v>
      </c>
      <c r="G6" s="397">
        <f>Outputs!P12</f>
        <v>-0.81000000000000016</v>
      </c>
      <c r="H6" s="397">
        <f>Outputs!Q12</f>
        <v>-4.6100000000000003</v>
      </c>
      <c r="I6" s="397">
        <f>Outputs!R12</f>
        <v>2.6599999999999997</v>
      </c>
      <c r="J6" s="397">
        <f>Outputs!S12</f>
        <v>-0.16</v>
      </c>
    </row>
    <row r="7" spans="1:10" x14ac:dyDescent="0.35">
      <c r="B7" s="410" t="s">
        <v>650</v>
      </c>
      <c r="C7" t="s">
        <v>621</v>
      </c>
      <c r="D7" t="s">
        <v>495</v>
      </c>
      <c r="E7" t="s">
        <v>429</v>
      </c>
      <c r="F7" s="397">
        <f>Outputs!O13</f>
        <v>0</v>
      </c>
      <c r="G7" s="397">
        <f>Outputs!P13</f>
        <v>4.6399999999999997</v>
      </c>
      <c r="H7" s="397">
        <f>Outputs!Q13</f>
        <v>2.78</v>
      </c>
      <c r="I7" s="397">
        <f>Outputs!R13</f>
        <v>-11.51</v>
      </c>
      <c r="J7" s="448">
        <f>Outputs!S13</f>
        <v>-10.68</v>
      </c>
    </row>
    <row r="8" spans="1:10" x14ac:dyDescent="0.35">
      <c r="B8" s="410" t="s">
        <v>651</v>
      </c>
      <c r="C8" t="s">
        <v>538</v>
      </c>
      <c r="D8" t="s">
        <v>428</v>
      </c>
      <c r="E8" t="s">
        <v>429</v>
      </c>
      <c r="F8" s="438">
        <f>Outputs!O16</f>
        <v>0</v>
      </c>
      <c r="G8" s="438">
        <f>Outputs!P16</f>
        <v>160.76704184397599</v>
      </c>
      <c r="H8" s="438">
        <f>Outputs!Q16</f>
        <v>160.09850443441158</v>
      </c>
      <c r="I8" s="438">
        <f>Outputs!R16</f>
        <v>162.47886486695199</v>
      </c>
      <c r="J8" s="438">
        <f>Outputs!S16</f>
        <v>163.33277190183199</v>
      </c>
    </row>
    <row r="9" spans="1:10" x14ac:dyDescent="0.35">
      <c r="B9" s="410" t="s">
        <v>652</v>
      </c>
      <c r="C9" t="s">
        <v>540</v>
      </c>
      <c r="D9" t="s">
        <v>428</v>
      </c>
      <c r="E9" t="s">
        <v>429</v>
      </c>
      <c r="F9" s="438">
        <f>Outputs!O19</f>
        <v>0</v>
      </c>
      <c r="G9" s="438">
        <f>Outputs!P19</f>
        <v>143.17699999999999</v>
      </c>
      <c r="H9" s="438">
        <f>Outputs!Q19</f>
        <v>122.55018266268888</v>
      </c>
      <c r="I9" s="438">
        <f>Outputs!R19</f>
        <v>148.46799999999999</v>
      </c>
      <c r="J9" s="438">
        <f>Outputs!S19</f>
        <v>150.721</v>
      </c>
    </row>
    <row r="10" spans="1:10" x14ac:dyDescent="0.35">
      <c r="B10" s="410" t="s">
        <v>653</v>
      </c>
      <c r="C10" t="s">
        <v>631</v>
      </c>
      <c r="D10" t="s">
        <v>428</v>
      </c>
      <c r="E10" t="s">
        <v>429</v>
      </c>
      <c r="F10" s="438">
        <f>Outputs!O22</f>
        <v>0</v>
      </c>
      <c r="G10" s="438">
        <f>Outputs!P22</f>
        <v>0</v>
      </c>
      <c r="H10" s="438">
        <f>Outputs!Q22</f>
        <v>0</v>
      </c>
      <c r="I10" s="438">
        <f>Outputs!R22</f>
        <v>0</v>
      </c>
      <c r="J10" s="438">
        <f>Outputs!S22</f>
        <v>0</v>
      </c>
    </row>
    <row r="11" spans="1:10" x14ac:dyDescent="0.35">
      <c r="B11" s="410" t="s">
        <v>654</v>
      </c>
      <c r="C11" t="s">
        <v>632</v>
      </c>
      <c r="D11" t="s">
        <v>428</v>
      </c>
      <c r="E11" t="s">
        <v>429</v>
      </c>
      <c r="F11" s="438">
        <f>Outputs!O23</f>
        <v>0</v>
      </c>
      <c r="G11" s="438">
        <f>Outputs!P23</f>
        <v>0</v>
      </c>
      <c r="H11" s="438">
        <f>Outputs!Q23</f>
        <v>0</v>
      </c>
      <c r="I11" s="438">
        <f>Outputs!R23</f>
        <v>0</v>
      </c>
      <c r="J11" s="438">
        <f>Outputs!S23</f>
        <v>0</v>
      </c>
    </row>
    <row r="12" spans="1:10" x14ac:dyDescent="0.35">
      <c r="B12" s="410" t="s">
        <v>655</v>
      </c>
      <c r="C12" t="s">
        <v>633</v>
      </c>
      <c r="D12" t="s">
        <v>428</v>
      </c>
      <c r="E12" t="s">
        <v>429</v>
      </c>
      <c r="F12" s="438">
        <f>Outputs!O24</f>
        <v>0</v>
      </c>
      <c r="G12" s="438">
        <f>Outputs!P24</f>
        <v>0</v>
      </c>
      <c r="H12" s="438">
        <f>Outputs!Q24</f>
        <v>0</v>
      </c>
      <c r="I12" s="438">
        <f>Outputs!R24</f>
        <v>0</v>
      </c>
      <c r="J12" s="438">
        <f>Outputs!S24</f>
        <v>0</v>
      </c>
    </row>
    <row r="13" spans="1:10" x14ac:dyDescent="0.35">
      <c r="B13" s="410" t="s">
        <v>656</v>
      </c>
      <c r="C13" t="s">
        <v>634</v>
      </c>
      <c r="D13" t="s">
        <v>428</v>
      </c>
      <c r="E13" t="s">
        <v>429</v>
      </c>
      <c r="F13" s="438">
        <f>Outputs!O25</f>
        <v>0</v>
      </c>
      <c r="G13" s="438">
        <f>Outputs!P25</f>
        <v>0</v>
      </c>
      <c r="H13" s="438">
        <f>Outputs!Q25</f>
        <v>0</v>
      </c>
      <c r="I13" s="438">
        <f>Outputs!R25</f>
        <v>0</v>
      </c>
      <c r="J13" s="438">
        <f>Outputs!S25</f>
        <v>0</v>
      </c>
    </row>
    <row r="14" spans="1:10" x14ac:dyDescent="0.35">
      <c r="B14" s="410" t="s">
        <v>657</v>
      </c>
      <c r="C14" t="s">
        <v>635</v>
      </c>
      <c r="D14" t="s">
        <v>428</v>
      </c>
      <c r="E14" t="s">
        <v>429</v>
      </c>
      <c r="F14" s="438">
        <f>Outputs!O26</f>
        <v>0</v>
      </c>
      <c r="G14" s="438">
        <f>Outputs!P26</f>
        <v>0</v>
      </c>
      <c r="H14" s="438">
        <f>Outputs!Q26</f>
        <v>0</v>
      </c>
      <c r="I14" s="438">
        <f>Outputs!R26</f>
        <v>0</v>
      </c>
      <c r="J14" s="438">
        <f>Outputs!S26</f>
        <v>0</v>
      </c>
    </row>
    <row r="15" spans="1:10" x14ac:dyDescent="0.35">
      <c r="B15" s="410" t="s">
        <v>670</v>
      </c>
      <c r="C15" t="s">
        <v>644</v>
      </c>
      <c r="D15" t="s">
        <v>428</v>
      </c>
      <c r="E15" t="s">
        <v>429</v>
      </c>
      <c r="F15" s="449">
        <f>Outputs!O27</f>
        <v>0</v>
      </c>
      <c r="G15" s="449">
        <f>Outputs!P27</f>
        <v>0</v>
      </c>
      <c r="H15" s="449">
        <f>Outputs!Q27</f>
        <v>0</v>
      </c>
      <c r="I15" s="449">
        <f>Outputs!R27</f>
        <v>0</v>
      </c>
      <c r="J15" s="449">
        <f>Outputs!S27</f>
        <v>0</v>
      </c>
    </row>
    <row r="16" spans="1:10" x14ac:dyDescent="0.35">
      <c r="B16" s="410" t="s">
        <v>658</v>
      </c>
      <c r="C16" t="s">
        <v>636</v>
      </c>
      <c r="D16" t="s">
        <v>428</v>
      </c>
      <c r="E16" t="s">
        <v>429</v>
      </c>
      <c r="F16" s="449" t="str">
        <f>IF(Outputs!O$36 = 1, Outputs!O48, "##BLANK")</f>
        <v>##BLANK</v>
      </c>
      <c r="G16" s="449">
        <f>IF(Outputs!P$36 = 1, Outputs!P48, "##BLANK")</f>
        <v>0</v>
      </c>
      <c r="H16" s="449" t="str">
        <f>IF(Outputs!Q$36 = 1, Outputs!Q48, "##BLANK")</f>
        <v>##BLANK</v>
      </c>
      <c r="I16" s="449" t="str">
        <f>IF(Outputs!R$36 = 1, Outputs!R48, "##BLANK")</f>
        <v>##BLANK</v>
      </c>
      <c r="J16" s="449" t="str">
        <f>IF(Outputs!S$36 = 1, Outputs!S48, "##BLANK")</f>
        <v>##BLANK</v>
      </c>
    </row>
    <row r="17" spans="2:10" x14ac:dyDescent="0.35">
      <c r="B17" s="410" t="s">
        <v>659</v>
      </c>
      <c r="C17" t="s">
        <v>637</v>
      </c>
      <c r="D17" t="s">
        <v>428</v>
      </c>
      <c r="E17" t="s">
        <v>429</v>
      </c>
      <c r="F17" s="449" t="str">
        <f>IF(Outputs!O$36 = 1, Outputs!O49, "##BLANK")</f>
        <v>##BLANK</v>
      </c>
      <c r="G17" s="449">
        <f>IF(Outputs!P$36 = 1, Outputs!P49, "##BLANK")</f>
        <v>0</v>
      </c>
      <c r="H17" s="449" t="str">
        <f>IF(Outputs!Q$36 = 1, Outputs!Q49, "##BLANK")</f>
        <v>##BLANK</v>
      </c>
      <c r="I17" s="449" t="str">
        <f>IF(Outputs!R$36 = 1, Outputs!R49, "##BLANK")</f>
        <v>##BLANK</v>
      </c>
      <c r="J17" s="449" t="str">
        <f>IF(Outputs!S$36 = 1, Outputs!S49, "##BLANK")</f>
        <v>##BLANK</v>
      </c>
    </row>
    <row r="18" spans="2:10" x14ac:dyDescent="0.35">
      <c r="B18" s="410" t="s">
        <v>660</v>
      </c>
      <c r="C18" t="s">
        <v>638</v>
      </c>
      <c r="D18" t="s">
        <v>428</v>
      </c>
      <c r="E18" t="s">
        <v>429</v>
      </c>
      <c r="F18" s="449" t="str">
        <f>IF(Outputs!O$36 = 1, Outputs!O50, "##BLANK")</f>
        <v>##BLANK</v>
      </c>
      <c r="G18" s="449">
        <f>IF(Outputs!P$36 = 1, Outputs!P50, "##BLANK")</f>
        <v>0</v>
      </c>
      <c r="H18" s="449" t="str">
        <f>IF(Outputs!Q$36 = 1, Outputs!Q50, "##BLANK")</f>
        <v>##BLANK</v>
      </c>
      <c r="I18" s="449" t="str">
        <f>IF(Outputs!R$36 = 1, Outputs!R50, "##BLANK")</f>
        <v>##BLANK</v>
      </c>
      <c r="J18" s="449" t="str">
        <f>IF(Outputs!S$36 = 1, Outputs!S50, "##BLANK")</f>
        <v>##BLANK</v>
      </c>
    </row>
    <row r="19" spans="2:10" x14ac:dyDescent="0.35">
      <c r="B19" s="410" t="s">
        <v>661</v>
      </c>
      <c r="C19" t="s">
        <v>639</v>
      </c>
      <c r="D19" t="s">
        <v>428</v>
      </c>
      <c r="E19" t="s">
        <v>429</v>
      </c>
      <c r="F19" s="449" t="str">
        <f>IF(Outputs!O$36 = 1, Outputs!O51, "##BLANK")</f>
        <v>##BLANK</v>
      </c>
      <c r="G19" s="449">
        <f>IF(Outputs!P$36 = 1, Outputs!P51, "##BLANK")</f>
        <v>0</v>
      </c>
      <c r="H19" s="449" t="str">
        <f>IF(Outputs!Q$36 = 1, Outputs!Q51, "##BLANK")</f>
        <v>##BLANK</v>
      </c>
      <c r="I19" s="449" t="str">
        <f>IF(Outputs!R$36 = 1, Outputs!R51, "##BLANK")</f>
        <v>##BLANK</v>
      </c>
      <c r="J19" s="449" t="str">
        <f>IF(Outputs!S$36 = 1, Outputs!S51, "##BLANK")</f>
        <v>##BLANK</v>
      </c>
    </row>
    <row r="20" spans="2:10" x14ac:dyDescent="0.35">
      <c r="B20" s="410" t="s">
        <v>662</v>
      </c>
      <c r="C20" t="s">
        <v>640</v>
      </c>
      <c r="D20" t="s">
        <v>428</v>
      </c>
      <c r="E20" t="s">
        <v>429</v>
      </c>
      <c r="F20" s="449" t="str">
        <f>IF(Outputs!O$36 = 1, Outputs!O52, "##BLANK")</f>
        <v>##BLANK</v>
      </c>
      <c r="G20" s="449">
        <f>IF(Outputs!P$36 = 1, Outputs!P52, "##BLANK")</f>
        <v>0</v>
      </c>
      <c r="H20" s="449" t="str">
        <f>IF(Outputs!Q$36 = 1, Outputs!Q52, "##BLANK")</f>
        <v>##BLANK</v>
      </c>
      <c r="I20" s="449" t="str">
        <f>IF(Outputs!R$36 = 1, Outputs!R52, "##BLANK")</f>
        <v>##BLANK</v>
      </c>
      <c r="J20" s="449" t="str">
        <f>IF(Outputs!S$36 = 1, Outputs!S52, "##BLANK")</f>
        <v>##BLANK</v>
      </c>
    </row>
    <row r="21" spans="2:10" x14ac:dyDescent="0.35">
      <c r="B21" s="410" t="s">
        <v>663</v>
      </c>
      <c r="C21" t="s">
        <v>641</v>
      </c>
      <c r="D21" t="s">
        <v>428</v>
      </c>
      <c r="E21" t="s">
        <v>429</v>
      </c>
      <c r="F21" s="449" t="str">
        <f>IF(Outputs!O$36 = 1, Outputs!O53, "##BLANK")</f>
        <v>##BLANK</v>
      </c>
      <c r="G21" s="449">
        <f>IF(Outputs!P$36 = 1, Outputs!P53, "##BLANK")</f>
        <v>0</v>
      </c>
      <c r="H21" s="449" t="str">
        <f>IF(Outputs!Q$36 = 1, Outputs!Q53, "##BLANK")</f>
        <v>##BLANK</v>
      </c>
      <c r="I21" s="449" t="str">
        <f>IF(Outputs!R$36 = 1, Outputs!R53, "##BLANK")</f>
        <v>##BLANK</v>
      </c>
      <c r="J21" s="449" t="str">
        <f>IF(Outputs!S$36 = 1, Outputs!S53, "##BLANK")</f>
        <v>##BLANK</v>
      </c>
    </row>
    <row r="22" spans="2:10" x14ac:dyDescent="0.35">
      <c r="B22" s="410" t="s">
        <v>664</v>
      </c>
      <c r="C22" t="s">
        <v>642</v>
      </c>
      <c r="D22" t="s">
        <v>428</v>
      </c>
      <c r="E22" t="s">
        <v>429</v>
      </c>
      <c r="F22" s="449" t="str">
        <f>IF(Outputs!O$36 = 1, Outputs!O54, "##BLANK")</f>
        <v>##BLANK</v>
      </c>
      <c r="G22" s="449">
        <f>IF(Outputs!P$36 = 1, Outputs!P54, "##BLANK")</f>
        <v>0</v>
      </c>
      <c r="H22" s="449" t="str">
        <f>IF(Outputs!Q$36 = 1, Outputs!Q54, "##BLANK")</f>
        <v>##BLANK</v>
      </c>
      <c r="I22" s="449" t="str">
        <f>IF(Outputs!R$36 = 1, Outputs!R54, "##BLANK")</f>
        <v>##BLANK</v>
      </c>
      <c r="J22" s="449" t="str">
        <f>IF(Outputs!S$36 = 1, Outputs!S54, "##BLANK")</f>
        <v>##BLANK</v>
      </c>
    </row>
    <row r="23" spans="2:10" x14ac:dyDescent="0.35">
      <c r="B23" s="410" t="s">
        <v>665</v>
      </c>
      <c r="C23" t="s">
        <v>643</v>
      </c>
      <c r="D23" t="s">
        <v>428</v>
      </c>
      <c r="E23" t="s">
        <v>429</v>
      </c>
      <c r="F23" s="449" t="str">
        <f>IF(Outputs!O$36 = 1, Outputs!O55, "##BLANK")</f>
        <v>##BLANK</v>
      </c>
      <c r="G23" s="449">
        <f>IF(Outputs!P$36 = 1, Outputs!P55, "##BLANK")</f>
        <v>0</v>
      </c>
      <c r="H23" s="449" t="str">
        <f>IF(Outputs!Q$36 = 1, Outputs!Q55, "##BLANK")</f>
        <v>##BLANK</v>
      </c>
      <c r="I23" s="449" t="str">
        <f>IF(Outputs!R$36 = 1, Outputs!R55, "##BLANK")</f>
        <v>##BLANK</v>
      </c>
      <c r="J23" s="449" t="str">
        <f>IF(Outputs!S$36 = 1, Outputs!S55, "##BLANK")</f>
        <v>##BLANK</v>
      </c>
    </row>
    <row r="24" spans="2:10" x14ac:dyDescent="0.35">
      <c r="B24" s="410" t="s">
        <v>666</v>
      </c>
      <c r="C24" t="s">
        <v>668</v>
      </c>
      <c r="D24" t="s">
        <v>110</v>
      </c>
      <c r="E24" t="s">
        <v>429</v>
      </c>
      <c r="F24" t="str">
        <f ca="1">CONCATENATE("[…]", TEXT(NOW(),"dd/mm/yyy hh:mm:ss"))</f>
        <v>[…]04/11/2021 16:24:29</v>
      </c>
      <c r="G24" t="str">
        <f t="shared" ref="G24:J24" ca="1" si="0">CONCATENATE("[…]", TEXT(NOW(),"dd/mm/yyy hh:mm:ss"))</f>
        <v>[…]04/11/2021 16:24:29</v>
      </c>
      <c r="H24" t="str">
        <f t="shared" ca="1" si="0"/>
        <v>[…]04/11/2021 16:24:29</v>
      </c>
      <c r="I24" t="str">
        <f t="shared" ca="1" si="0"/>
        <v>[…]04/11/2021 16:24:29</v>
      </c>
      <c r="J24" t="str">
        <f t="shared" ca="1" si="0"/>
        <v>[…]04/11/2021 16:24:29</v>
      </c>
    </row>
    <row r="25" spans="2:10" x14ac:dyDescent="0.35">
      <c r="B25" s="410" t="s">
        <v>667</v>
      </c>
      <c r="C25" t="s">
        <v>669</v>
      </c>
      <c r="D25" t="s">
        <v>110</v>
      </c>
      <c r="E25" t="s">
        <v>429</v>
      </c>
      <c r="F25" s="411" t="str">
        <f ca="1">MID(CELL("filename",A1),SEARCH("[",CELL("filename",A1))+1,SEARCH("]",CELL("filename",A1))-1-SEARCH("[",CELL("filename",A1)))</f>
        <v>TMS-In-period-adjustments-model- IPD2021-FD.xlsx</v>
      </c>
      <c r="G25" s="411" t="str">
        <f t="shared" ref="G25:J25" ca="1" si="1">MID(CELL("filename",B1),SEARCH("[",CELL("filename",B1))+1,SEARCH("]",CELL("filename",B1))-1-SEARCH("[",CELL("filename",B1)))</f>
        <v>TMS-In-period-adjustments-model- IPD2021-FD.xlsx</v>
      </c>
      <c r="H25" s="411" t="str">
        <f t="shared" ca="1" si="1"/>
        <v>TMS-In-period-adjustments-model- IPD2021-FD.xlsx</v>
      </c>
      <c r="I25" s="411" t="str">
        <f t="shared" ca="1" si="1"/>
        <v>TMS-In-period-adjustments-model- IPD2021-FD.xlsx</v>
      </c>
      <c r="J25" s="411" t="str">
        <f t="shared" ca="1" si="1"/>
        <v>TMS-In-period-adjustments-model- IPD2021-FD.xlsx</v>
      </c>
    </row>
  </sheetData>
  <sheetProtection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35"/>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1.9" x14ac:dyDescent="1.05">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35"/>
    <row r="3" spans="1:11" s="250" customFormat="1" ht="14.65" x14ac:dyDescent="0.5">
      <c r="B3" s="243" t="s">
        <v>71</v>
      </c>
      <c r="D3" s="243" t="s">
        <v>72</v>
      </c>
      <c r="F3" s="243" t="s">
        <v>73</v>
      </c>
      <c r="H3" s="243" t="s">
        <v>74</v>
      </c>
    </row>
    <row r="4" spans="1:11" s="250" customFormat="1" ht="12.75" x14ac:dyDescent="0.35"/>
    <row r="5" spans="1:11" s="381" customFormat="1" ht="12.75" x14ac:dyDescent="0.35">
      <c r="B5" s="382" t="s">
        <v>75</v>
      </c>
      <c r="D5" s="383" t="s">
        <v>76</v>
      </c>
      <c r="E5" s="384"/>
      <c r="F5" s="385" t="s">
        <v>77</v>
      </c>
      <c r="H5" s="386" t="s">
        <v>70</v>
      </c>
      <c r="J5" s="387"/>
    </row>
    <row r="6" spans="1:11" s="381" customFormat="1" ht="25.5" x14ac:dyDescent="0.35">
      <c r="B6" s="381" t="s">
        <v>707</v>
      </c>
      <c r="D6" s="388" t="s">
        <v>78</v>
      </c>
      <c r="F6" s="388" t="s">
        <v>79</v>
      </c>
      <c r="H6" s="381" t="s">
        <v>80</v>
      </c>
      <c r="J6" s="389"/>
    </row>
    <row r="7" spans="1:11" s="381" customFormat="1" ht="12.75" x14ac:dyDescent="0.35">
      <c r="J7" s="389"/>
    </row>
    <row r="8" spans="1:11" s="381" customFormat="1" ht="12.75" x14ac:dyDescent="0.35">
      <c r="B8" s="382" t="s">
        <v>81</v>
      </c>
      <c r="D8" s="383" t="s">
        <v>82</v>
      </c>
      <c r="E8" s="384"/>
      <c r="F8" s="385" t="s">
        <v>83</v>
      </c>
      <c r="H8" s="389"/>
      <c r="J8" s="387"/>
    </row>
    <row r="9" spans="1:11" s="381" customFormat="1" ht="25.5" x14ac:dyDescent="0.35">
      <c r="B9" s="381" t="s">
        <v>708</v>
      </c>
      <c r="D9" s="388" t="s">
        <v>84</v>
      </c>
      <c r="F9" s="388" t="s">
        <v>85</v>
      </c>
      <c r="H9" s="389"/>
    </row>
    <row r="10" spans="1:11" s="381" customFormat="1" ht="12.75" x14ac:dyDescent="0.35">
      <c r="H10" s="389"/>
    </row>
    <row r="11" spans="1:11" s="381" customFormat="1" ht="12.75" x14ac:dyDescent="0.35">
      <c r="B11" s="390" t="s">
        <v>86</v>
      </c>
      <c r="E11" s="384"/>
      <c r="F11" s="385" t="s">
        <v>87</v>
      </c>
      <c r="H11" s="389"/>
    </row>
    <row r="12" spans="1:11" s="381" customFormat="1" ht="12.75" x14ac:dyDescent="0.35">
      <c r="B12" s="381" t="s">
        <v>709</v>
      </c>
      <c r="F12" s="388" t="s">
        <v>88</v>
      </c>
      <c r="H12" s="389"/>
    </row>
    <row r="13" spans="1:11" s="381" customFormat="1" ht="12.75" x14ac:dyDescent="0.35">
      <c r="H13" s="389"/>
    </row>
    <row r="14" spans="1:11" s="381" customFormat="1" ht="12.75" x14ac:dyDescent="0.35">
      <c r="B14" s="391" t="s">
        <v>705</v>
      </c>
      <c r="F14" s="385" t="s">
        <v>89</v>
      </c>
      <c r="H14" s="389"/>
    </row>
    <row r="15" spans="1:11" s="381" customFormat="1" ht="38.25" x14ac:dyDescent="0.35">
      <c r="B15" s="388" t="s">
        <v>710</v>
      </c>
      <c r="F15" s="392" t="s">
        <v>90</v>
      </c>
      <c r="H15" s="389"/>
    </row>
    <row r="16" spans="1:11" s="381" customFormat="1" ht="12.75" x14ac:dyDescent="0.35">
      <c r="F16" s="393"/>
    </row>
    <row r="17" spans="1:11" s="381" customFormat="1" ht="12.75" x14ac:dyDescent="0.35">
      <c r="B17" s="391" t="s">
        <v>706</v>
      </c>
      <c r="F17" s="385" t="s">
        <v>91</v>
      </c>
    </row>
    <row r="18" spans="1:11" s="384" customFormat="1" ht="51" x14ac:dyDescent="0.35">
      <c r="A18" s="381"/>
      <c r="B18" s="388" t="s">
        <v>712</v>
      </c>
      <c r="C18" s="381"/>
      <c r="D18" s="381"/>
      <c r="E18" s="381"/>
      <c r="F18" s="392" t="s">
        <v>92</v>
      </c>
      <c r="G18" s="381"/>
      <c r="H18" s="381"/>
      <c r="I18" s="381"/>
      <c r="J18" s="381"/>
      <c r="K18" s="381"/>
    </row>
    <row r="19" spans="1:11" s="384" customFormat="1" ht="12.75" x14ac:dyDescent="0.35">
      <c r="A19" s="381"/>
      <c r="B19" s="381"/>
      <c r="C19" s="381"/>
      <c r="D19" s="381"/>
      <c r="E19" s="381"/>
      <c r="F19" s="394"/>
      <c r="G19" s="381"/>
      <c r="H19" s="381"/>
      <c r="I19" s="381"/>
      <c r="J19" s="381"/>
      <c r="K19" s="381"/>
    </row>
    <row r="20" spans="1:11" s="384" customFormat="1" ht="12.75" x14ac:dyDescent="0.35">
      <c r="A20" s="381"/>
      <c r="B20" s="391" t="s">
        <v>26</v>
      </c>
      <c r="C20" s="381"/>
      <c r="D20" s="381"/>
      <c r="E20" s="381"/>
      <c r="F20" s="385" t="s">
        <v>93</v>
      </c>
      <c r="G20" s="381"/>
      <c r="H20" s="381"/>
      <c r="I20" s="381"/>
      <c r="J20" s="381"/>
      <c r="K20" s="381"/>
    </row>
    <row r="21" spans="1:11" s="384" customFormat="1" ht="25.5" x14ac:dyDescent="0.35">
      <c r="A21" s="381"/>
      <c r="B21" s="388" t="s">
        <v>711</v>
      </c>
      <c r="C21" s="381"/>
      <c r="D21" s="381"/>
      <c r="E21" s="381"/>
      <c r="F21" s="392" t="s">
        <v>94</v>
      </c>
      <c r="G21" s="381"/>
      <c r="H21" s="381"/>
      <c r="I21" s="381"/>
      <c r="J21" s="381"/>
      <c r="K21" s="381"/>
    </row>
    <row r="22" spans="1:11" s="384" customFormat="1" ht="12.75" x14ac:dyDescent="0.35">
      <c r="A22" s="381"/>
      <c r="B22" s="381"/>
      <c r="C22" s="381"/>
      <c r="D22" s="381"/>
      <c r="E22" s="381"/>
      <c r="F22" s="394"/>
      <c r="G22" s="381"/>
      <c r="H22" s="381"/>
      <c r="I22" s="381"/>
      <c r="J22" s="381"/>
      <c r="K22" s="381"/>
    </row>
    <row r="23" spans="1:11" s="384" customFormat="1" ht="12.75" x14ac:dyDescent="0.35">
      <c r="A23" s="381"/>
      <c r="B23" s="381"/>
      <c r="C23" s="381"/>
      <c r="D23" s="381"/>
      <c r="E23" s="381"/>
      <c r="F23" s="385" t="s">
        <v>95</v>
      </c>
      <c r="G23" s="381"/>
      <c r="H23" s="381"/>
      <c r="I23" s="381"/>
      <c r="J23" s="381"/>
      <c r="K23" s="381"/>
    </row>
    <row r="24" spans="1:11" s="384" customFormat="1" ht="25.5" x14ac:dyDescent="0.35">
      <c r="A24" s="381"/>
      <c r="B24" s="381"/>
      <c r="C24" s="381"/>
      <c r="D24" s="381"/>
      <c r="E24" s="381"/>
      <c r="F24" s="392" t="s">
        <v>96</v>
      </c>
      <c r="G24" s="381"/>
      <c r="H24" s="381"/>
      <c r="I24" s="381"/>
      <c r="J24" s="381"/>
      <c r="K24" s="381"/>
    </row>
    <row r="25" spans="1:11" s="384" customFormat="1" ht="12.75" x14ac:dyDescent="0.35">
      <c r="A25" s="381"/>
      <c r="B25" s="381"/>
      <c r="C25" s="381"/>
      <c r="D25" s="381"/>
      <c r="E25" s="381"/>
      <c r="F25" s="394"/>
      <c r="G25" s="381"/>
      <c r="H25" s="381"/>
      <c r="I25" s="381"/>
      <c r="J25" s="381"/>
      <c r="K25" s="381"/>
    </row>
    <row r="26" spans="1:11" s="384" customFormat="1" ht="12.75" x14ac:dyDescent="0.35">
      <c r="A26" s="381"/>
      <c r="B26" s="381"/>
      <c r="C26" s="381"/>
      <c r="D26" s="381"/>
      <c r="E26" s="381"/>
      <c r="F26" s="385" t="s">
        <v>97</v>
      </c>
      <c r="G26" s="381"/>
      <c r="H26" s="381"/>
      <c r="I26" s="381"/>
      <c r="J26" s="381"/>
      <c r="K26" s="381"/>
    </row>
    <row r="27" spans="1:11" s="381" customFormat="1" ht="25.5" x14ac:dyDescent="0.35">
      <c r="F27" s="392" t="s">
        <v>98</v>
      </c>
    </row>
    <row r="28" spans="1:11" s="381" customFormat="1" ht="12.75" x14ac:dyDescent="0.35">
      <c r="F28" s="394"/>
    </row>
    <row r="29" spans="1:11" s="381" customFormat="1" ht="12.75" x14ac:dyDescent="0.35">
      <c r="F29" s="385" t="s">
        <v>99</v>
      </c>
    </row>
    <row r="30" spans="1:11" s="381" customFormat="1" ht="25.5" x14ac:dyDescent="0.35">
      <c r="F30" s="392" t="s">
        <v>100</v>
      </c>
    </row>
    <row r="31" spans="1:11" s="381" customFormat="1" ht="12.75" x14ac:dyDescent="0.35">
      <c r="F31" s="394"/>
    </row>
    <row r="32" spans="1:11" s="381" customFormat="1" ht="12.75" x14ac:dyDescent="0.35">
      <c r="F32" s="385" t="s">
        <v>101</v>
      </c>
    </row>
    <row r="33" spans="1:6" s="381" customFormat="1" ht="25.5" x14ac:dyDescent="0.35">
      <c r="F33" s="392" t="s">
        <v>102</v>
      </c>
    </row>
    <row r="34" spans="1:6" s="381" customFormat="1" ht="12.75" x14ac:dyDescent="0.35">
      <c r="F34" s="394"/>
    </row>
    <row r="35" spans="1:6" s="381" customFormat="1" ht="12.75" x14ac:dyDescent="0.35">
      <c r="F35" s="385" t="s">
        <v>103</v>
      </c>
    </row>
    <row r="36" spans="1:6" s="381" customFormat="1" ht="38.25" x14ac:dyDescent="0.35">
      <c r="F36" s="392" t="s">
        <v>104</v>
      </c>
    </row>
    <row r="37" spans="1:6" s="250" customFormat="1" ht="12.75" x14ac:dyDescent="0.35">
      <c r="F37" s="251"/>
    </row>
    <row r="38" spans="1:6" s="223" customFormat="1" ht="13.5" x14ac:dyDescent="0.45">
      <c r="A38" s="223" t="s">
        <v>43</v>
      </c>
    </row>
    <row r="39" spans="1:6" s="250" customFormat="1" ht="12.75" hidden="1" x14ac:dyDescent="0.35"/>
    <row r="40" spans="1:6" s="250" customFormat="1" ht="12.75" hidden="1" x14ac:dyDescent="0.35"/>
    <row r="41" spans="1:6" s="250" customFormat="1" ht="12.75" hidden="1" x14ac:dyDescent="0.35"/>
    <row r="42" spans="1:6" s="250" customFormat="1" ht="12.75" hidden="1" x14ac:dyDescent="0.35"/>
    <row r="43" spans="1:6" s="250" customFormat="1" ht="12.75" hidden="1" x14ac:dyDescent="0.35"/>
    <row r="44" spans="1:6" s="250" customFormat="1" ht="12.75" hidden="1" x14ac:dyDescent="0.35"/>
    <row r="45" spans="1:6" s="250" customFormat="1" ht="12.75" hidden="1" x14ac:dyDescent="0.35"/>
    <row r="46" spans="1:6" s="250" customFormat="1" ht="12.75" hidden="1" x14ac:dyDescent="0.35"/>
    <row r="47" spans="1:6" s="250" customFormat="1" ht="12.75" hidden="1" x14ac:dyDescent="0.35"/>
    <row r="48" spans="1:6" s="250" customFormat="1" ht="12.75" hidden="1" x14ac:dyDescent="0.35"/>
    <row r="49" s="250" customFormat="1" ht="12.75" hidden="1" x14ac:dyDescent="0.35"/>
    <row r="50" s="250" customFormat="1" ht="12.75" hidden="1" x14ac:dyDescent="0.35"/>
    <row r="51" s="250" customFormat="1" ht="12.75" hidden="1" x14ac:dyDescent="0.35"/>
    <row r="52" s="250" customFormat="1" ht="12.75" hidden="1" x14ac:dyDescent="0.35"/>
    <row r="53" s="250" customFormat="1" ht="12.75" hidden="1" x14ac:dyDescent="0.35"/>
    <row r="54" s="250" customFormat="1" ht="12.75" hidden="1" x14ac:dyDescent="0.35"/>
    <row r="55" s="250" customFormat="1" ht="12.75" hidden="1" x14ac:dyDescent="0.35"/>
    <row r="56" s="250" customFormat="1" ht="12.75" hidden="1" x14ac:dyDescent="0.35"/>
    <row r="57" s="250" customFormat="1" ht="12.75" hidden="1" x14ac:dyDescent="0.35"/>
    <row r="58" s="250" customFormat="1" ht="12.75" hidden="1" x14ac:dyDescent="0.35"/>
    <row r="59" s="250" customFormat="1" ht="12.75" hidden="1" x14ac:dyDescent="0.35"/>
    <row r="60" s="250" customFormat="1" ht="12.75" hidden="1" x14ac:dyDescent="0.35"/>
    <row r="61" s="250" customFormat="1" ht="12.75" hidden="1" x14ac:dyDescent="0.35"/>
    <row r="62" s="250" customFormat="1" ht="12.75" hidden="1" x14ac:dyDescent="0.35"/>
    <row r="63" s="250" customFormat="1" ht="12.75" hidden="1" x14ac:dyDescent="0.35"/>
    <row r="64" s="250" customFormat="1" ht="12.75" hidden="1" x14ac:dyDescent="0.35"/>
    <row r="65" s="250" customFormat="1" ht="12.75" hidden="1" x14ac:dyDescent="0.35"/>
    <row r="66" s="250" customFormat="1" ht="12.75" hidden="1" x14ac:dyDescent="0.35"/>
    <row r="67" s="250" customFormat="1" ht="12.75" hidden="1" x14ac:dyDescent="0.35"/>
    <row r="68" s="250" customFormat="1" ht="12.75" hidden="1" x14ac:dyDescent="0.35"/>
    <row r="69" s="250" customFormat="1" ht="12.75" hidden="1" x14ac:dyDescent="0.35"/>
    <row r="70" s="250" customFormat="1" ht="12.75" hidden="1" x14ac:dyDescent="0.35"/>
    <row r="71" s="250" customFormat="1" ht="12.75" hidden="1" x14ac:dyDescent="0.35"/>
    <row r="72" s="250" customFormat="1" ht="12.75" hidden="1" x14ac:dyDescent="0.35"/>
    <row r="73" s="250" customFormat="1" ht="12.75" hidden="1" x14ac:dyDescent="0.35"/>
    <row r="74" s="250" customFormat="1" ht="12.75" hidden="1" x14ac:dyDescent="0.35"/>
    <row r="75" s="250" customFormat="1" ht="12.75" hidden="1" x14ac:dyDescent="0.35"/>
    <row r="76" s="250" customFormat="1" ht="12.75" hidden="1" x14ac:dyDescent="0.35"/>
    <row r="77" s="250" customFormat="1" ht="12.75" hidden="1" x14ac:dyDescent="0.35"/>
    <row r="78" s="250" customFormat="1" ht="12.75" hidden="1" x14ac:dyDescent="0.35"/>
    <row r="79" s="250" customFormat="1" ht="12.75" hidden="1" x14ac:dyDescent="0.35"/>
    <row r="80" s="250" customFormat="1" ht="12.75" hidden="1" x14ac:dyDescent="0.35"/>
    <row r="81" s="250" customFormat="1" ht="12.75" hidden="1" x14ac:dyDescent="0.35"/>
    <row r="82" s="250" customFormat="1" ht="12.75" hidden="1" x14ac:dyDescent="0.35"/>
    <row r="83" s="250" customFormat="1" ht="12.75" hidden="1" x14ac:dyDescent="0.35"/>
    <row r="84" s="250" customFormat="1" ht="12.75" hidden="1" x14ac:dyDescent="0.35"/>
    <row r="85" s="250" customFormat="1" ht="12.75" hidden="1" x14ac:dyDescent="0.35"/>
    <row r="86" s="250" customFormat="1" ht="12.75" hidden="1" x14ac:dyDescent="0.35"/>
    <row r="87" s="250" customFormat="1" ht="12.75" hidden="1" x14ac:dyDescent="0.35"/>
    <row r="88" s="250" customFormat="1" ht="12.75" hidden="1" x14ac:dyDescent="0.35"/>
    <row r="89" s="250" customFormat="1" ht="12.75" hidden="1" x14ac:dyDescent="0.35"/>
    <row r="90" s="250" customFormat="1" ht="12.75" hidden="1" x14ac:dyDescent="0.35"/>
    <row r="91" s="250" customFormat="1" ht="12.75" hidden="1" x14ac:dyDescent="0.35"/>
    <row r="92" s="250" customFormat="1" ht="12.75" hidden="1" x14ac:dyDescent="0.35"/>
    <row r="93" s="250" customFormat="1" ht="12.75" hidden="1" x14ac:dyDescent="0.35"/>
    <row r="94" s="250" customFormat="1" ht="12.75" hidden="1" x14ac:dyDescent="0.35"/>
    <row r="95" s="250" customFormat="1" ht="12.75" hidden="1" x14ac:dyDescent="0.35"/>
    <row r="96" s="250" customFormat="1" ht="12.75" hidden="1" x14ac:dyDescent="0.35"/>
    <row r="97" s="250" customFormat="1" ht="12.75" hidden="1" x14ac:dyDescent="0.35"/>
    <row r="98" s="250" customFormat="1" ht="12.75" hidden="1" x14ac:dyDescent="0.35"/>
    <row r="99" s="250" customFormat="1" ht="12.75" hidden="1" x14ac:dyDescent="0.35"/>
    <row r="100" s="250" customFormat="1" ht="12.75" hidden="1" x14ac:dyDescent="0.35"/>
    <row r="101" s="250" customFormat="1" ht="12.75" hidden="1" x14ac:dyDescent="0.35"/>
    <row r="102" s="250" customFormat="1" ht="12.75" hidden="1" x14ac:dyDescent="0.35"/>
    <row r="103" s="250" customFormat="1" ht="12.75" hidden="1" x14ac:dyDescent="0.35"/>
    <row r="104" s="250" customFormat="1" ht="12.75" hidden="1" x14ac:dyDescent="0.35"/>
    <row r="105" s="250" customFormat="1" ht="12.75" hidden="1" x14ac:dyDescent="0.35"/>
    <row r="106" s="250" customFormat="1" ht="12.75" hidden="1" x14ac:dyDescent="0.35"/>
    <row r="107" s="250" customFormat="1" ht="12.75" hidden="1" x14ac:dyDescent="0.35"/>
    <row r="108" s="250" customFormat="1" ht="12.75" hidden="1" x14ac:dyDescent="0.35"/>
    <row r="109" s="250" customFormat="1" ht="12.75" hidden="1" x14ac:dyDescent="0.35"/>
    <row r="110" s="250" customFormat="1" ht="12.75" hidden="1" x14ac:dyDescent="0.35"/>
    <row r="111" s="250" customFormat="1" ht="12.75" hidden="1" x14ac:dyDescent="0.35"/>
    <row r="112" s="250" customFormat="1" ht="12.75" hidden="1" x14ac:dyDescent="0.35"/>
    <row r="113" s="250" customFormat="1" ht="12.75" hidden="1" x14ac:dyDescent="0.35"/>
    <row r="114" s="250" customFormat="1" ht="12.75" hidden="1" x14ac:dyDescent="0.35"/>
    <row r="115" s="250" customFormat="1" ht="12.75" hidden="1" x14ac:dyDescent="0.35"/>
    <row r="116" s="250" customFormat="1" ht="12.75" hidden="1" x14ac:dyDescent="0.35"/>
    <row r="117" s="250" customFormat="1" ht="12.75" hidden="1" x14ac:dyDescent="0.35"/>
    <row r="118" s="250" customFormat="1" ht="12.75" hidden="1" x14ac:dyDescent="0.35"/>
    <row r="119" s="250" customFormat="1" ht="12.75" hidden="1" x14ac:dyDescent="0.35"/>
    <row r="120" s="250" customFormat="1" ht="12.75" hidden="1" x14ac:dyDescent="0.35"/>
    <row r="121" s="250" customFormat="1" ht="12.75" hidden="1" x14ac:dyDescent="0.35"/>
    <row r="122" s="250" customFormat="1" ht="12.75" hidden="1" x14ac:dyDescent="0.35"/>
    <row r="123" s="250" customFormat="1" ht="12.75" hidden="1" x14ac:dyDescent="0.35"/>
    <row r="124" s="250" customFormat="1" ht="12.75" hidden="1" x14ac:dyDescent="0.35"/>
    <row r="125" s="250" customFormat="1" ht="12.75" hidden="1" x14ac:dyDescent="0.35"/>
    <row r="126" s="250" customFormat="1" ht="12.75" hidden="1" x14ac:dyDescent="0.35"/>
    <row r="127" s="250" customFormat="1" ht="12.75" hidden="1" x14ac:dyDescent="0.35"/>
    <row r="128" s="250" customFormat="1" ht="12.75" hidden="1" x14ac:dyDescent="0.35"/>
    <row r="129" s="250" customFormat="1" ht="12.75" hidden="1" x14ac:dyDescent="0.35"/>
    <row r="130" s="250" customFormat="1" ht="12.75" hidden="1" x14ac:dyDescent="0.35"/>
    <row r="131" s="250" customFormat="1" ht="12.75" hidden="1" x14ac:dyDescent="0.35"/>
    <row r="132" s="250" customFormat="1" ht="12.75" hidden="1" x14ac:dyDescent="0.35"/>
    <row r="133" s="250" customFormat="1" ht="12.75" hidden="1" x14ac:dyDescent="0.35"/>
    <row r="134" s="250" customFormat="1" ht="12.75" hidden="1" x14ac:dyDescent="0.35"/>
    <row r="135" s="250" customFormat="1" ht="12.75" hidden="1" x14ac:dyDescent="0.35"/>
    <row r="136" s="250" customFormat="1" ht="12.75" hidden="1" x14ac:dyDescent="0.35"/>
    <row r="137" s="250" customFormat="1" ht="12.75" hidden="1" x14ac:dyDescent="0.35"/>
    <row r="138" s="250" customFormat="1" ht="12.75" hidden="1" x14ac:dyDescent="0.35"/>
    <row r="139" s="250" customFormat="1" ht="12.75" hidden="1" x14ac:dyDescent="0.35"/>
    <row r="140" s="250" customFormat="1" ht="12.75" hidden="1" x14ac:dyDescent="0.35"/>
    <row r="141" s="250" customFormat="1" ht="12.75" hidden="1" x14ac:dyDescent="0.35"/>
    <row r="142" s="250" customFormat="1" ht="12.75" hidden="1" x14ac:dyDescent="0.35"/>
    <row r="143" s="250" customFormat="1" ht="12.75" hidden="1" x14ac:dyDescent="0.35"/>
    <row r="144" s="250" customFormat="1" ht="12.75" hidden="1" x14ac:dyDescent="0.35"/>
    <row r="145" s="250" customFormat="1" ht="12.75" hidden="1" x14ac:dyDescent="0.35"/>
    <row r="146" s="250" customFormat="1" ht="12.75" hidden="1" x14ac:dyDescent="0.35"/>
    <row r="147" s="250" customFormat="1" ht="12.75" hidden="1" x14ac:dyDescent="0.35"/>
    <row r="148" s="250" customFormat="1" ht="12.75" hidden="1" x14ac:dyDescent="0.35"/>
    <row r="149" s="250" customFormat="1" ht="12.75" hidden="1" x14ac:dyDescent="0.35"/>
    <row r="150" s="250" customFormat="1" ht="12.75" hidden="1" x14ac:dyDescent="0.35"/>
    <row r="151" s="250" customFormat="1" ht="12.75" hidden="1" x14ac:dyDescent="0.35"/>
    <row r="152" s="250" customFormat="1" ht="12.75" hidden="1" x14ac:dyDescent="0.35"/>
    <row r="153" s="250" customFormat="1" ht="12.75" hidden="1" x14ac:dyDescent="0.35"/>
    <row r="154" s="250" customFormat="1" ht="12.75" hidden="1" x14ac:dyDescent="0.35"/>
    <row r="155" s="250" customFormat="1" ht="12.75" hidden="1" x14ac:dyDescent="0.35"/>
    <row r="156" s="250" customFormat="1" ht="12.75" hidden="1" x14ac:dyDescent="0.35"/>
    <row r="157" s="250" customFormat="1" ht="12.75" hidden="1" x14ac:dyDescent="0.35"/>
    <row r="158" s="250" customFormat="1" ht="12.75" hidden="1" x14ac:dyDescent="0.35"/>
    <row r="159" s="250" customFormat="1" ht="12.75" hidden="1" x14ac:dyDescent="0.35"/>
    <row r="160" s="250" customFormat="1" ht="12.75" hidden="1" x14ac:dyDescent="0.35"/>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dimension ref="A1:N179"/>
  <sheetViews>
    <sheetView zoomScale="90" zoomScaleNormal="90" workbookViewId="0"/>
  </sheetViews>
  <sheetFormatPr defaultRowHeight="13.5" x14ac:dyDescent="0.3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10" bestFit="1" customWidth="1"/>
    <col min="10" max="13" width="10.375" bestFit="1" customWidth="1"/>
    <col min="14" max="14" width="8.5" bestFit="1" customWidth="1"/>
  </cols>
  <sheetData>
    <row r="1" spans="1:14" x14ac:dyDescent="0.35">
      <c r="C1" t="s">
        <v>421</v>
      </c>
    </row>
    <row r="2" spans="1:14" x14ac:dyDescent="0.35">
      <c r="A2" t="s">
        <v>365</v>
      </c>
      <c r="B2" t="s">
        <v>22</v>
      </c>
      <c r="C2" t="s">
        <v>422</v>
      </c>
      <c r="D2" t="s">
        <v>106</v>
      </c>
      <c r="E2" t="s">
        <v>423</v>
      </c>
      <c r="F2" t="s">
        <v>785</v>
      </c>
    </row>
    <row r="4" spans="1:14" x14ac:dyDescent="0.35">
      <c r="F4" t="s">
        <v>786</v>
      </c>
    </row>
    <row r="5" spans="1:14" x14ac:dyDescent="0.35">
      <c r="F5" t="s">
        <v>787</v>
      </c>
    </row>
    <row r="6" spans="1:14" x14ac:dyDescent="0.35">
      <c r="F6" t="s">
        <v>116</v>
      </c>
      <c r="G6" t="s">
        <v>424</v>
      </c>
      <c r="H6" t="s">
        <v>368</v>
      </c>
      <c r="I6" t="s">
        <v>113</v>
      </c>
      <c r="J6" t="s">
        <v>374</v>
      </c>
      <c r="K6" t="s">
        <v>377</v>
      </c>
      <c r="L6" t="s">
        <v>380</v>
      </c>
      <c r="M6" t="s">
        <v>383</v>
      </c>
      <c r="N6" t="s">
        <v>425</v>
      </c>
    </row>
    <row r="7" spans="1:14" x14ac:dyDescent="0.35">
      <c r="A7" t="s">
        <v>389</v>
      </c>
      <c r="B7" t="s">
        <v>426</v>
      </c>
      <c r="C7" t="s">
        <v>427</v>
      </c>
      <c r="D7" t="s">
        <v>428</v>
      </c>
      <c r="E7" t="s">
        <v>429</v>
      </c>
      <c r="F7" s="397"/>
      <c r="G7" s="397"/>
      <c r="H7" s="397"/>
      <c r="I7" s="397">
        <v>-1.7776799999999999E-2</v>
      </c>
      <c r="J7" s="397"/>
      <c r="K7" s="397"/>
      <c r="L7" s="397"/>
      <c r="M7" s="397"/>
      <c r="N7" s="397"/>
    </row>
    <row r="8" spans="1:14" x14ac:dyDescent="0.35">
      <c r="A8" t="s">
        <v>389</v>
      </c>
      <c r="B8" t="s">
        <v>430</v>
      </c>
      <c r="C8" t="s">
        <v>431</v>
      </c>
      <c r="D8" t="s">
        <v>428</v>
      </c>
      <c r="E8" t="s">
        <v>429</v>
      </c>
      <c r="F8" s="397"/>
      <c r="G8" s="397"/>
      <c r="H8" s="397"/>
      <c r="I8" s="397">
        <v>-9.1004800728694004</v>
      </c>
      <c r="J8" s="397"/>
      <c r="K8" s="397"/>
      <c r="L8" s="397"/>
      <c r="M8" s="397"/>
      <c r="N8" s="397"/>
    </row>
    <row r="9" spans="1:14" x14ac:dyDescent="0.35">
      <c r="A9" t="s">
        <v>389</v>
      </c>
      <c r="B9" t="s">
        <v>432</v>
      </c>
      <c r="C9" t="s">
        <v>433</v>
      </c>
      <c r="D9" t="s">
        <v>428</v>
      </c>
      <c r="E9" t="s">
        <v>429</v>
      </c>
      <c r="F9" s="397"/>
      <c r="G9" s="397"/>
      <c r="H9" s="397"/>
      <c r="I9" s="397">
        <v>-18.354731000000001</v>
      </c>
      <c r="J9" s="397"/>
      <c r="K9" s="397"/>
      <c r="L9" s="397"/>
      <c r="M9" s="397"/>
      <c r="N9" s="397"/>
    </row>
    <row r="10" spans="1:14" x14ac:dyDescent="0.35">
      <c r="A10" t="s">
        <v>389</v>
      </c>
      <c r="B10" t="s">
        <v>434</v>
      </c>
      <c r="C10" t="s">
        <v>435</v>
      </c>
      <c r="D10" t="s">
        <v>428</v>
      </c>
      <c r="E10" t="s">
        <v>429</v>
      </c>
      <c r="F10" s="397"/>
      <c r="G10" s="397"/>
      <c r="H10" s="397"/>
      <c r="I10" s="397">
        <v>-1.2331799999999999</v>
      </c>
      <c r="J10" s="397"/>
      <c r="K10" s="397"/>
      <c r="L10" s="397"/>
      <c r="M10" s="397"/>
      <c r="N10" s="397"/>
    </row>
    <row r="11" spans="1:14" x14ac:dyDescent="0.35">
      <c r="A11" t="s">
        <v>389</v>
      </c>
      <c r="B11" t="s">
        <v>436</v>
      </c>
      <c r="C11" t="s">
        <v>437</v>
      </c>
      <c r="D11" t="s">
        <v>428</v>
      </c>
      <c r="E11" t="s">
        <v>429</v>
      </c>
      <c r="F11" s="397"/>
      <c r="G11" s="397"/>
      <c r="H11" s="397"/>
      <c r="I11" s="397">
        <v>-0.51939999999999997</v>
      </c>
      <c r="J11" s="397"/>
      <c r="K11" s="397"/>
      <c r="L11" s="397"/>
      <c r="M11" s="397"/>
      <c r="N11" s="397"/>
    </row>
    <row r="12" spans="1:14" x14ac:dyDescent="0.35">
      <c r="A12" t="s">
        <v>389</v>
      </c>
      <c r="B12" t="s">
        <v>438</v>
      </c>
      <c r="C12" t="s">
        <v>439</v>
      </c>
      <c r="D12" t="s">
        <v>428</v>
      </c>
      <c r="E12" t="s">
        <v>429</v>
      </c>
      <c r="F12" s="397"/>
      <c r="G12" s="397"/>
      <c r="H12" s="397"/>
      <c r="I12" s="397">
        <v>0</v>
      </c>
      <c r="J12" s="397"/>
      <c r="K12" s="397"/>
      <c r="L12" s="397"/>
      <c r="M12" s="397"/>
      <c r="N12" s="397"/>
    </row>
    <row r="13" spans="1:14" x14ac:dyDescent="0.35">
      <c r="A13" t="s">
        <v>389</v>
      </c>
      <c r="B13" t="s">
        <v>440</v>
      </c>
      <c r="C13" t="s">
        <v>441</v>
      </c>
      <c r="D13" t="s">
        <v>428</v>
      </c>
      <c r="E13" t="s">
        <v>429</v>
      </c>
      <c r="F13" s="397"/>
      <c r="G13" s="397"/>
      <c r="H13" s="397"/>
      <c r="I13" s="397">
        <v>0</v>
      </c>
      <c r="J13" s="397"/>
      <c r="K13" s="397"/>
      <c r="L13" s="397"/>
      <c r="M13" s="397"/>
      <c r="N13" s="397"/>
    </row>
    <row r="14" spans="1:14" x14ac:dyDescent="0.35">
      <c r="A14" t="s">
        <v>389</v>
      </c>
      <c r="B14" t="s">
        <v>442</v>
      </c>
      <c r="C14" t="s">
        <v>443</v>
      </c>
      <c r="D14" t="s">
        <v>428</v>
      </c>
      <c r="E14" t="s">
        <v>429</v>
      </c>
      <c r="F14" s="397"/>
      <c r="G14" s="397"/>
      <c r="H14" s="397"/>
      <c r="I14" s="397">
        <v>-16.753440000000001</v>
      </c>
      <c r="J14" s="397"/>
      <c r="K14" s="397"/>
      <c r="L14" s="397"/>
      <c r="M14" s="397"/>
      <c r="N14" s="397"/>
    </row>
    <row r="15" spans="1:14" x14ac:dyDescent="0.35">
      <c r="A15" t="s">
        <v>389</v>
      </c>
      <c r="B15" t="s">
        <v>582</v>
      </c>
      <c r="C15" t="s">
        <v>583</v>
      </c>
      <c r="D15" t="s">
        <v>428</v>
      </c>
      <c r="E15" t="s">
        <v>429</v>
      </c>
      <c r="F15" s="435"/>
      <c r="G15" s="435"/>
      <c r="H15" s="435"/>
      <c r="I15" s="435">
        <v>-16.753440000000001</v>
      </c>
      <c r="J15" s="435"/>
      <c r="K15" s="435"/>
      <c r="L15" s="435"/>
      <c r="M15" s="435"/>
      <c r="N15" s="435"/>
    </row>
    <row r="16" spans="1:14" x14ac:dyDescent="0.35">
      <c r="A16" t="s">
        <v>389</v>
      </c>
      <c r="B16" t="s">
        <v>584</v>
      </c>
      <c r="C16" t="s">
        <v>585</v>
      </c>
      <c r="D16" t="s">
        <v>428</v>
      </c>
      <c r="E16" t="s">
        <v>429</v>
      </c>
      <c r="F16" s="436"/>
      <c r="G16" s="436"/>
      <c r="H16" s="436"/>
      <c r="I16" s="436">
        <v>0</v>
      </c>
      <c r="J16" s="436"/>
      <c r="K16" s="436"/>
      <c r="L16" s="436"/>
      <c r="M16" s="436"/>
      <c r="N16" s="436"/>
    </row>
    <row r="17" spans="1:14" x14ac:dyDescent="0.35">
      <c r="A17" t="s">
        <v>389</v>
      </c>
      <c r="B17" t="s">
        <v>586</v>
      </c>
      <c r="C17" t="s">
        <v>587</v>
      </c>
      <c r="D17" t="s">
        <v>428</v>
      </c>
      <c r="E17" t="s">
        <v>429</v>
      </c>
      <c r="F17" s="397"/>
      <c r="G17" s="397"/>
      <c r="H17" s="397"/>
      <c r="I17" s="397">
        <v>-1.2266323943802</v>
      </c>
      <c r="J17" s="397"/>
      <c r="K17" s="397"/>
      <c r="L17" s="397"/>
      <c r="M17" s="397"/>
      <c r="N17" s="397"/>
    </row>
    <row r="18" spans="1:14" x14ac:dyDescent="0.35">
      <c r="A18" t="s">
        <v>389</v>
      </c>
      <c r="B18" t="s">
        <v>588</v>
      </c>
      <c r="C18" t="s">
        <v>589</v>
      </c>
      <c r="D18" t="s">
        <v>428</v>
      </c>
      <c r="E18" t="s">
        <v>429</v>
      </c>
      <c r="F18" s="397"/>
      <c r="G18" s="397"/>
      <c r="H18" s="397"/>
      <c r="I18" s="397">
        <v>-0.63421432112364295</v>
      </c>
      <c r="J18" s="397"/>
      <c r="K18" s="397"/>
      <c r="L18" s="397"/>
      <c r="M18" s="397"/>
      <c r="N18" s="397"/>
    </row>
    <row r="19" spans="1:14" x14ac:dyDescent="0.35">
      <c r="A19" t="s">
        <v>389</v>
      </c>
      <c r="B19" t="s">
        <v>444</v>
      </c>
      <c r="C19" t="s">
        <v>445</v>
      </c>
      <c r="D19" t="s">
        <v>428</v>
      </c>
      <c r="E19" t="s">
        <v>429</v>
      </c>
      <c r="F19" s="397"/>
      <c r="G19" s="397"/>
      <c r="H19" s="397"/>
      <c r="I19" s="397">
        <v>0</v>
      </c>
      <c r="J19" s="397"/>
      <c r="K19" s="397"/>
      <c r="L19" s="397"/>
      <c r="M19" s="397"/>
      <c r="N19" s="397"/>
    </row>
    <row r="20" spans="1:14" x14ac:dyDescent="0.35">
      <c r="A20" t="s">
        <v>389</v>
      </c>
      <c r="B20" t="s">
        <v>446</v>
      </c>
      <c r="C20" t="s">
        <v>447</v>
      </c>
      <c r="D20" t="s">
        <v>428</v>
      </c>
      <c r="E20" t="s">
        <v>429</v>
      </c>
      <c r="F20" s="397"/>
      <c r="G20" s="397"/>
      <c r="H20" s="397"/>
      <c r="I20" s="397">
        <v>0</v>
      </c>
      <c r="J20" s="397"/>
      <c r="K20" s="397"/>
      <c r="L20" s="397"/>
      <c r="M20" s="397"/>
      <c r="N20" s="397"/>
    </row>
    <row r="21" spans="1:14" x14ac:dyDescent="0.35">
      <c r="A21" t="s">
        <v>389</v>
      </c>
      <c r="B21" t="s">
        <v>448</v>
      </c>
      <c r="C21" t="s">
        <v>449</v>
      </c>
      <c r="D21" t="s">
        <v>428</v>
      </c>
      <c r="E21" t="s">
        <v>429</v>
      </c>
      <c r="F21" s="397"/>
      <c r="G21" s="397"/>
      <c r="H21" s="397"/>
      <c r="I21" s="397">
        <v>0</v>
      </c>
      <c r="J21" s="397"/>
      <c r="K21" s="397"/>
      <c r="L21" s="397"/>
      <c r="M21" s="397"/>
      <c r="N21" s="397"/>
    </row>
    <row r="22" spans="1:14" x14ac:dyDescent="0.35">
      <c r="A22" t="s">
        <v>389</v>
      </c>
      <c r="B22" t="s">
        <v>450</v>
      </c>
      <c r="C22" t="s">
        <v>451</v>
      </c>
      <c r="D22" t="s">
        <v>428</v>
      </c>
      <c r="E22" t="s">
        <v>429</v>
      </c>
      <c r="F22" s="397"/>
      <c r="G22" s="397"/>
      <c r="H22" s="397"/>
      <c r="I22" s="397">
        <v>0</v>
      </c>
      <c r="J22" s="397"/>
      <c r="K22" s="397"/>
      <c r="L22" s="397"/>
      <c r="M22" s="397"/>
      <c r="N22" s="397"/>
    </row>
    <row r="23" spans="1:14" x14ac:dyDescent="0.35">
      <c r="A23" t="s">
        <v>389</v>
      </c>
      <c r="B23" t="s">
        <v>452</v>
      </c>
      <c r="C23" t="s">
        <v>453</v>
      </c>
      <c r="D23" t="s">
        <v>428</v>
      </c>
      <c r="E23" t="s">
        <v>429</v>
      </c>
      <c r="F23" s="397"/>
      <c r="G23" s="397"/>
      <c r="H23" s="397"/>
      <c r="I23" s="397">
        <v>0</v>
      </c>
      <c r="J23" s="397"/>
      <c r="K23" s="397"/>
      <c r="L23" s="397"/>
      <c r="M23" s="397"/>
      <c r="N23" s="397"/>
    </row>
    <row r="24" spans="1:14" x14ac:dyDescent="0.35">
      <c r="A24" t="s">
        <v>389</v>
      </c>
      <c r="B24" t="s">
        <v>454</v>
      </c>
      <c r="C24" t="s">
        <v>455</v>
      </c>
      <c r="D24" t="s">
        <v>428</v>
      </c>
      <c r="E24" t="s">
        <v>429</v>
      </c>
      <c r="F24" s="397"/>
      <c r="G24" s="397"/>
      <c r="H24" s="397"/>
      <c r="I24" s="397">
        <v>0</v>
      </c>
      <c r="J24" s="397"/>
      <c r="K24" s="397"/>
      <c r="L24" s="397"/>
      <c r="M24" s="397"/>
      <c r="N24" s="397"/>
    </row>
    <row r="25" spans="1:14" x14ac:dyDescent="0.35">
      <c r="A25" t="s">
        <v>389</v>
      </c>
      <c r="B25" t="s">
        <v>456</v>
      </c>
      <c r="C25" t="s">
        <v>457</v>
      </c>
      <c r="D25" t="s">
        <v>428</v>
      </c>
      <c r="E25" t="s">
        <v>429</v>
      </c>
      <c r="F25" s="397"/>
      <c r="G25" s="397"/>
      <c r="H25" s="397"/>
      <c r="I25" s="397">
        <v>0</v>
      </c>
      <c r="J25" s="397"/>
      <c r="K25" s="397"/>
      <c r="L25" s="397"/>
      <c r="M25" s="397"/>
      <c r="N25" s="397"/>
    </row>
    <row r="26" spans="1:14" x14ac:dyDescent="0.35">
      <c r="A26" t="s">
        <v>389</v>
      </c>
      <c r="B26" t="s">
        <v>458</v>
      </c>
      <c r="C26" t="s">
        <v>459</v>
      </c>
      <c r="D26" t="s">
        <v>428</v>
      </c>
      <c r="E26" t="s">
        <v>429</v>
      </c>
      <c r="F26" s="397"/>
      <c r="G26" s="397"/>
      <c r="H26" s="397"/>
      <c r="I26" s="397">
        <v>0</v>
      </c>
      <c r="J26" s="397"/>
      <c r="K26" s="397"/>
      <c r="L26" s="397"/>
      <c r="M26" s="397"/>
      <c r="N26" s="397"/>
    </row>
    <row r="27" spans="1:14" x14ac:dyDescent="0.35">
      <c r="A27" t="s">
        <v>389</v>
      </c>
      <c r="B27" t="s">
        <v>460</v>
      </c>
      <c r="C27" t="s">
        <v>461</v>
      </c>
      <c r="D27" t="s">
        <v>428</v>
      </c>
      <c r="E27" t="s">
        <v>429</v>
      </c>
      <c r="F27" s="397"/>
      <c r="G27" s="397"/>
      <c r="H27" s="397"/>
      <c r="I27" s="397">
        <v>0</v>
      </c>
      <c r="J27" s="397"/>
      <c r="K27" s="397"/>
      <c r="L27" s="397"/>
      <c r="M27" s="397"/>
      <c r="N27" s="397"/>
    </row>
    <row r="28" spans="1:14" x14ac:dyDescent="0.35">
      <c r="A28" t="s">
        <v>389</v>
      </c>
      <c r="B28" t="s">
        <v>462</v>
      </c>
      <c r="C28" t="s">
        <v>463</v>
      </c>
      <c r="D28" t="s">
        <v>428</v>
      </c>
      <c r="E28" t="s">
        <v>429</v>
      </c>
      <c r="F28" s="397"/>
      <c r="G28" s="397"/>
      <c r="H28" s="397"/>
      <c r="I28" s="397">
        <v>0</v>
      </c>
      <c r="J28" s="397"/>
      <c r="K28" s="397"/>
      <c r="L28" s="397"/>
      <c r="M28" s="397"/>
      <c r="N28" s="397"/>
    </row>
    <row r="29" spans="1:14" x14ac:dyDescent="0.35">
      <c r="A29" t="s">
        <v>389</v>
      </c>
      <c r="B29" t="s">
        <v>464</v>
      </c>
      <c r="C29" t="s">
        <v>465</v>
      </c>
      <c r="D29" t="s">
        <v>428</v>
      </c>
      <c r="E29" t="s">
        <v>429</v>
      </c>
      <c r="F29" s="397"/>
      <c r="G29" s="397"/>
      <c r="H29" s="397"/>
      <c r="I29" s="397">
        <v>0</v>
      </c>
      <c r="J29" s="397"/>
      <c r="K29" s="397"/>
      <c r="L29" s="397"/>
      <c r="M29" s="397"/>
      <c r="N29" s="397"/>
    </row>
    <row r="30" spans="1:14" x14ac:dyDescent="0.35">
      <c r="A30" t="s">
        <v>389</v>
      </c>
      <c r="B30" t="s">
        <v>466</v>
      </c>
      <c r="C30" t="s">
        <v>467</v>
      </c>
      <c r="D30" t="s">
        <v>428</v>
      </c>
      <c r="E30" t="s">
        <v>429</v>
      </c>
      <c r="F30" s="397"/>
      <c r="G30" s="397"/>
      <c r="H30" s="397"/>
      <c r="I30" s="397">
        <v>0</v>
      </c>
      <c r="J30" s="397"/>
      <c r="K30" s="397"/>
      <c r="L30" s="397"/>
      <c r="M30" s="397"/>
      <c r="N30" s="397"/>
    </row>
    <row r="31" spans="1:14" x14ac:dyDescent="0.35">
      <c r="A31" t="s">
        <v>389</v>
      </c>
      <c r="B31" t="s">
        <v>468</v>
      </c>
      <c r="C31" t="s">
        <v>469</v>
      </c>
      <c r="D31" t="s">
        <v>428</v>
      </c>
      <c r="E31" t="s">
        <v>429</v>
      </c>
      <c r="F31" s="397"/>
      <c r="G31" s="397"/>
      <c r="H31" s="397"/>
      <c r="I31" s="397">
        <v>0</v>
      </c>
      <c r="J31" s="397"/>
      <c r="K31" s="397"/>
      <c r="L31" s="397"/>
      <c r="M31" s="397"/>
      <c r="N31" s="397"/>
    </row>
    <row r="32" spans="1:14" x14ac:dyDescent="0.35">
      <c r="A32" t="s">
        <v>389</v>
      </c>
      <c r="B32" t="s">
        <v>470</v>
      </c>
      <c r="C32" t="s">
        <v>471</v>
      </c>
      <c r="D32" t="s">
        <v>428</v>
      </c>
      <c r="E32" t="s">
        <v>429</v>
      </c>
      <c r="F32" s="397"/>
      <c r="G32" s="397"/>
      <c r="H32" s="397"/>
      <c r="I32" s="397">
        <v>0</v>
      </c>
      <c r="J32" s="397"/>
      <c r="K32" s="397"/>
      <c r="L32" s="397"/>
      <c r="M32" s="397"/>
      <c r="N32" s="397"/>
    </row>
    <row r="33" spans="1:14" x14ac:dyDescent="0.35">
      <c r="A33" t="s">
        <v>389</v>
      </c>
      <c r="B33" t="s">
        <v>472</v>
      </c>
      <c r="C33" t="s">
        <v>473</v>
      </c>
      <c r="D33" t="s">
        <v>428</v>
      </c>
      <c r="E33" t="s">
        <v>429</v>
      </c>
      <c r="F33" s="397"/>
      <c r="G33" s="397"/>
      <c r="H33" s="397"/>
      <c r="I33" s="397">
        <v>0</v>
      </c>
      <c r="J33" s="397"/>
      <c r="K33" s="397"/>
      <c r="L33" s="397"/>
      <c r="M33" s="397"/>
      <c r="N33" s="397"/>
    </row>
    <row r="34" spans="1:14" x14ac:dyDescent="0.35">
      <c r="A34" t="s">
        <v>389</v>
      </c>
      <c r="B34" t="s">
        <v>474</v>
      </c>
      <c r="C34" t="s">
        <v>475</v>
      </c>
      <c r="D34" t="s">
        <v>428</v>
      </c>
      <c r="E34" t="s">
        <v>429</v>
      </c>
      <c r="F34" s="397"/>
      <c r="G34" s="397"/>
      <c r="H34" s="397"/>
      <c r="I34" s="397">
        <v>0</v>
      </c>
      <c r="J34" s="397"/>
      <c r="K34" s="397"/>
      <c r="L34" s="397"/>
      <c r="M34" s="397"/>
      <c r="N34" s="397"/>
    </row>
    <row r="35" spans="1:14" x14ac:dyDescent="0.35">
      <c r="A35" t="s">
        <v>389</v>
      </c>
      <c r="B35" t="s">
        <v>476</v>
      </c>
      <c r="C35" t="s">
        <v>477</v>
      </c>
      <c r="D35" t="s">
        <v>428</v>
      </c>
      <c r="E35" t="s">
        <v>429</v>
      </c>
      <c r="F35" s="397"/>
      <c r="G35" s="397"/>
      <c r="H35" s="397"/>
      <c r="I35" s="397">
        <v>0</v>
      </c>
      <c r="J35" s="397"/>
      <c r="K35" s="397"/>
      <c r="L35" s="397"/>
      <c r="M35" s="397"/>
      <c r="N35" s="397"/>
    </row>
    <row r="36" spans="1:14" x14ac:dyDescent="0.35">
      <c r="A36" t="s">
        <v>389</v>
      </c>
      <c r="B36" t="s">
        <v>478</v>
      </c>
      <c r="C36" t="s">
        <v>479</v>
      </c>
      <c r="D36" t="s">
        <v>428</v>
      </c>
      <c r="E36" t="s">
        <v>429</v>
      </c>
      <c r="F36" s="397"/>
      <c r="G36" s="397"/>
      <c r="H36" s="397"/>
      <c r="I36" s="397">
        <v>0</v>
      </c>
      <c r="J36" s="397"/>
      <c r="K36" s="397"/>
      <c r="L36" s="397"/>
      <c r="M36" s="397"/>
      <c r="N36" s="397"/>
    </row>
    <row r="37" spans="1:14" x14ac:dyDescent="0.35">
      <c r="A37" t="s">
        <v>389</v>
      </c>
      <c r="B37" t="s">
        <v>480</v>
      </c>
      <c r="C37" t="s">
        <v>481</v>
      </c>
      <c r="D37" t="s">
        <v>428</v>
      </c>
      <c r="E37" t="s">
        <v>429</v>
      </c>
      <c r="F37" s="397"/>
      <c r="G37" s="397"/>
      <c r="H37" s="397"/>
      <c r="I37" s="397">
        <v>0</v>
      </c>
      <c r="J37" s="397"/>
      <c r="K37" s="397"/>
      <c r="L37" s="397"/>
      <c r="M37" s="397"/>
      <c r="N37" s="397"/>
    </row>
    <row r="38" spans="1:14" x14ac:dyDescent="0.35">
      <c r="A38" t="s">
        <v>389</v>
      </c>
      <c r="B38" t="s">
        <v>482</v>
      </c>
      <c r="C38" t="s">
        <v>483</v>
      </c>
      <c r="D38" t="s">
        <v>428</v>
      </c>
      <c r="E38" t="s">
        <v>429</v>
      </c>
      <c r="F38" s="397"/>
      <c r="G38" s="397"/>
      <c r="H38" s="397"/>
      <c r="I38" s="397">
        <v>0</v>
      </c>
      <c r="J38" s="397"/>
      <c r="K38" s="397"/>
      <c r="L38" s="397"/>
      <c r="M38" s="397"/>
      <c r="N38" s="397"/>
    </row>
    <row r="39" spans="1:14" x14ac:dyDescent="0.35">
      <c r="A39" t="s">
        <v>389</v>
      </c>
      <c r="B39" t="s">
        <v>484</v>
      </c>
      <c r="C39" t="s">
        <v>485</v>
      </c>
      <c r="D39" t="s">
        <v>428</v>
      </c>
      <c r="E39" t="s">
        <v>429</v>
      </c>
      <c r="F39" s="397"/>
      <c r="G39" s="397"/>
      <c r="H39" s="397"/>
      <c r="I39" s="397">
        <v>0</v>
      </c>
      <c r="J39" s="397"/>
      <c r="K39" s="397"/>
      <c r="L39" s="397"/>
      <c r="M39" s="397"/>
      <c r="N39" s="397"/>
    </row>
    <row r="40" spans="1:14" x14ac:dyDescent="0.35">
      <c r="A40" t="s">
        <v>389</v>
      </c>
      <c r="B40" t="s">
        <v>697</v>
      </c>
      <c r="C40" t="s">
        <v>675</v>
      </c>
      <c r="D40" t="s">
        <v>428</v>
      </c>
      <c r="E40" t="s">
        <v>429</v>
      </c>
      <c r="F40" s="438"/>
      <c r="G40" s="438"/>
      <c r="H40" s="438"/>
      <c r="I40" s="438">
        <v>0</v>
      </c>
      <c r="J40" s="438"/>
      <c r="K40" s="438"/>
      <c r="L40" s="438"/>
      <c r="M40" s="438"/>
      <c r="N40" s="438"/>
    </row>
    <row r="41" spans="1:14" x14ac:dyDescent="0.35">
      <c r="A41" t="s">
        <v>389</v>
      </c>
      <c r="B41" t="s">
        <v>698</v>
      </c>
      <c r="C41" t="s">
        <v>676</v>
      </c>
      <c r="D41" t="s">
        <v>428</v>
      </c>
      <c r="E41" t="s">
        <v>429</v>
      </c>
      <c r="F41" s="438"/>
      <c r="G41" s="438"/>
      <c r="H41" s="438"/>
      <c r="I41" s="438">
        <v>-5.3650000000000002</v>
      </c>
      <c r="J41" s="438"/>
      <c r="K41" s="438"/>
      <c r="L41" s="438"/>
      <c r="M41" s="438"/>
      <c r="N41" s="438"/>
    </row>
    <row r="42" spans="1:14" x14ac:dyDescent="0.35">
      <c r="A42" t="s">
        <v>389</v>
      </c>
      <c r="B42" t="s">
        <v>699</v>
      </c>
      <c r="C42" t="s">
        <v>677</v>
      </c>
      <c r="D42" t="s">
        <v>428</v>
      </c>
      <c r="E42" t="s">
        <v>429</v>
      </c>
      <c r="F42" s="438"/>
      <c r="G42" s="438"/>
      <c r="H42" s="438"/>
      <c r="I42" s="438">
        <v>0</v>
      </c>
      <c r="J42" s="438"/>
      <c r="K42" s="438"/>
      <c r="L42" s="438"/>
      <c r="M42" s="438"/>
      <c r="N42" s="438"/>
    </row>
    <row r="43" spans="1:14" x14ac:dyDescent="0.35">
      <c r="A43" t="s">
        <v>389</v>
      </c>
      <c r="B43" t="s">
        <v>700</v>
      </c>
      <c r="C43" t="s">
        <v>678</v>
      </c>
      <c r="D43" t="s">
        <v>428</v>
      </c>
      <c r="E43" t="s">
        <v>429</v>
      </c>
      <c r="F43" s="438"/>
      <c r="G43" s="438"/>
      <c r="H43" s="438"/>
      <c r="I43" s="438">
        <v>0</v>
      </c>
      <c r="J43" s="438"/>
      <c r="K43" s="438"/>
      <c r="L43" s="438"/>
      <c r="M43" s="438"/>
      <c r="N43" s="438"/>
    </row>
    <row r="44" spans="1:14" x14ac:dyDescent="0.35">
      <c r="A44" t="s">
        <v>389</v>
      </c>
      <c r="B44" t="s">
        <v>701</v>
      </c>
      <c r="C44" t="s">
        <v>679</v>
      </c>
      <c r="D44" t="s">
        <v>428</v>
      </c>
      <c r="E44" t="s">
        <v>429</v>
      </c>
      <c r="F44" s="438"/>
      <c r="G44" s="438"/>
      <c r="H44" s="438"/>
      <c r="I44" s="438">
        <v>0</v>
      </c>
      <c r="J44" s="438"/>
      <c r="K44" s="438"/>
      <c r="L44" s="438"/>
      <c r="M44" s="438"/>
      <c r="N44" s="438"/>
    </row>
    <row r="45" spans="1:14" x14ac:dyDescent="0.35">
      <c r="A45" t="s">
        <v>389</v>
      </c>
      <c r="B45" t="s">
        <v>702</v>
      </c>
      <c r="C45" t="s">
        <v>680</v>
      </c>
      <c r="D45" t="s">
        <v>428</v>
      </c>
      <c r="E45" t="s">
        <v>429</v>
      </c>
      <c r="F45" s="438"/>
      <c r="G45" s="438"/>
      <c r="H45" s="438"/>
      <c r="I45" s="438">
        <v>0</v>
      </c>
      <c r="J45" s="438"/>
      <c r="K45" s="438"/>
      <c r="L45" s="438"/>
      <c r="M45" s="438"/>
      <c r="N45" s="438"/>
    </row>
    <row r="46" spans="1:14" x14ac:dyDescent="0.35">
      <c r="A46" t="s">
        <v>389</v>
      </c>
      <c r="B46" t="s">
        <v>703</v>
      </c>
      <c r="C46" t="s">
        <v>681</v>
      </c>
      <c r="D46" t="s">
        <v>428</v>
      </c>
      <c r="E46" t="s">
        <v>429</v>
      </c>
      <c r="F46" s="438"/>
      <c r="G46" s="438"/>
      <c r="H46" s="438"/>
      <c r="I46" s="438">
        <v>0</v>
      </c>
      <c r="J46" s="438"/>
      <c r="K46" s="438"/>
      <c r="L46" s="438"/>
      <c r="M46" s="438"/>
      <c r="N46" s="438"/>
    </row>
    <row r="47" spans="1:14" x14ac:dyDescent="0.35">
      <c r="A47" t="s">
        <v>389</v>
      </c>
      <c r="B47" t="s">
        <v>486</v>
      </c>
      <c r="C47" t="s">
        <v>487</v>
      </c>
      <c r="D47" t="s">
        <v>488</v>
      </c>
      <c r="E47" t="s">
        <v>489</v>
      </c>
      <c r="F47" s="437"/>
      <c r="G47" s="437"/>
      <c r="H47" s="437"/>
      <c r="I47" s="437"/>
      <c r="J47" s="437"/>
      <c r="K47" s="437"/>
      <c r="L47" s="437"/>
      <c r="M47" s="437"/>
      <c r="N47" s="437">
        <v>2.91957638201563E-2</v>
      </c>
    </row>
    <row r="48" spans="1:14" x14ac:dyDescent="0.35">
      <c r="A48" t="s">
        <v>389</v>
      </c>
      <c r="B48" t="s">
        <v>490</v>
      </c>
      <c r="C48" t="s">
        <v>161</v>
      </c>
      <c r="D48" t="s">
        <v>488</v>
      </c>
      <c r="E48" t="s">
        <v>429</v>
      </c>
      <c r="F48" s="437"/>
      <c r="G48" s="437"/>
      <c r="H48" s="437"/>
      <c r="I48" s="437"/>
      <c r="J48" s="437"/>
      <c r="K48" s="437"/>
      <c r="L48" s="437"/>
      <c r="M48" s="437"/>
      <c r="N48" s="437">
        <v>2.9600000000000001E-2</v>
      </c>
    </row>
    <row r="49" spans="1:14" x14ac:dyDescent="0.35">
      <c r="A49" t="s">
        <v>389</v>
      </c>
      <c r="B49" t="s">
        <v>491</v>
      </c>
      <c r="C49" t="s">
        <v>492</v>
      </c>
      <c r="D49" t="s">
        <v>488</v>
      </c>
      <c r="E49" t="s">
        <v>489</v>
      </c>
      <c r="F49" s="437"/>
      <c r="G49" s="437"/>
      <c r="H49" s="437"/>
      <c r="I49" s="437">
        <v>0.19</v>
      </c>
      <c r="J49" s="437">
        <v>0.19</v>
      </c>
      <c r="K49" s="437">
        <v>0.19</v>
      </c>
      <c r="L49" s="437">
        <v>0.19</v>
      </c>
      <c r="M49" s="437">
        <v>0.19</v>
      </c>
      <c r="N49" s="437"/>
    </row>
    <row r="50" spans="1:14" x14ac:dyDescent="0.35">
      <c r="A50" t="s">
        <v>389</v>
      </c>
      <c r="B50" t="s">
        <v>596</v>
      </c>
      <c r="C50" t="s">
        <v>597</v>
      </c>
      <c r="D50" t="s">
        <v>495</v>
      </c>
      <c r="E50" t="s">
        <v>489</v>
      </c>
      <c r="F50" s="398">
        <v>103.2</v>
      </c>
      <c r="G50" s="398">
        <v>105.5</v>
      </c>
      <c r="H50" s="398">
        <v>107.6</v>
      </c>
      <c r="I50" s="398">
        <v>109.703354739972</v>
      </c>
      <c r="J50" s="398">
        <v>111.897421834771</v>
      </c>
      <c r="K50" s="398">
        <v>114.172657229451</v>
      </c>
      <c r="L50" s="398">
        <v>116.57028303126999</v>
      </c>
      <c r="M50" s="398">
        <v>119.01825897492699</v>
      </c>
      <c r="N50" s="398"/>
    </row>
    <row r="51" spans="1:14" x14ac:dyDescent="0.35">
      <c r="A51" t="s">
        <v>389</v>
      </c>
      <c r="B51" t="s">
        <v>598</v>
      </c>
      <c r="C51" t="s">
        <v>599</v>
      </c>
      <c r="D51" t="s">
        <v>495</v>
      </c>
      <c r="E51" t="s">
        <v>489</v>
      </c>
      <c r="F51" s="398">
        <v>103.5</v>
      </c>
      <c r="G51" s="398">
        <v>105.9</v>
      </c>
      <c r="H51" s="398">
        <v>107.9</v>
      </c>
      <c r="I51" s="398">
        <v>109.884538749418</v>
      </c>
      <c r="J51" s="398">
        <v>112.082229524407</v>
      </c>
      <c r="K51" s="398">
        <v>114.370561696745</v>
      </c>
      <c r="L51" s="398">
        <v>116.772343492377</v>
      </c>
      <c r="M51" s="398">
        <v>119.22456270571701</v>
      </c>
      <c r="N51" s="398"/>
    </row>
    <row r="52" spans="1:14" x14ac:dyDescent="0.35">
      <c r="A52" t="s">
        <v>389</v>
      </c>
      <c r="B52" t="s">
        <v>600</v>
      </c>
      <c r="C52" t="s">
        <v>601</v>
      </c>
      <c r="D52" t="s">
        <v>495</v>
      </c>
      <c r="E52" t="s">
        <v>489</v>
      </c>
      <c r="F52" s="398">
        <v>103.5</v>
      </c>
      <c r="G52" s="398">
        <v>105.9</v>
      </c>
      <c r="H52" s="398">
        <v>107.9</v>
      </c>
      <c r="I52" s="398">
        <v>110.066021998987</v>
      </c>
      <c r="J52" s="398">
        <v>112.26734243896701</v>
      </c>
      <c r="K52" s="398">
        <v>114.568809207453</v>
      </c>
      <c r="L52" s="398">
        <v>116.97475420081</v>
      </c>
      <c r="M52" s="398">
        <v>119.431224039027</v>
      </c>
      <c r="N52" s="398"/>
    </row>
    <row r="53" spans="1:14" x14ac:dyDescent="0.35">
      <c r="A53" t="s">
        <v>389</v>
      </c>
      <c r="B53" t="s">
        <v>602</v>
      </c>
      <c r="C53" t="s">
        <v>603</v>
      </c>
      <c r="D53" t="s">
        <v>495</v>
      </c>
      <c r="E53" t="s">
        <v>489</v>
      </c>
      <c r="F53" s="398">
        <v>103.5</v>
      </c>
      <c r="G53" s="398">
        <v>105.9</v>
      </c>
      <c r="H53" s="398">
        <v>108</v>
      </c>
      <c r="I53" s="398">
        <v>110.24780498289699</v>
      </c>
      <c r="J53" s="398">
        <v>112.452761082555</v>
      </c>
      <c r="K53" s="398">
        <v>114.7674003562</v>
      </c>
      <c r="L53" s="398">
        <v>117.17751576368001</v>
      </c>
      <c r="M53" s="398">
        <v>119.638243594717</v>
      </c>
      <c r="N53" s="398"/>
    </row>
    <row r="54" spans="1:14" x14ac:dyDescent="0.35">
      <c r="A54" t="s">
        <v>389</v>
      </c>
      <c r="B54" t="s">
        <v>604</v>
      </c>
      <c r="C54" t="s">
        <v>605</v>
      </c>
      <c r="D54" t="s">
        <v>495</v>
      </c>
      <c r="E54" t="s">
        <v>489</v>
      </c>
      <c r="F54" s="398">
        <v>104</v>
      </c>
      <c r="G54" s="398">
        <v>106.5</v>
      </c>
      <c r="H54" s="398">
        <v>108.3</v>
      </c>
      <c r="I54" s="398">
        <v>110.429888196185</v>
      </c>
      <c r="J54" s="398">
        <v>112.638485960108</v>
      </c>
      <c r="K54" s="398">
        <v>114.96633573864</v>
      </c>
      <c r="L54" s="398">
        <v>117.380628789151</v>
      </c>
      <c r="M54" s="398">
        <v>119.845621993724</v>
      </c>
      <c r="N54" s="398"/>
    </row>
    <row r="55" spans="1:14" x14ac:dyDescent="0.35">
      <c r="A55" t="s">
        <v>389</v>
      </c>
      <c r="B55" t="s">
        <v>606</v>
      </c>
      <c r="C55" t="s">
        <v>607</v>
      </c>
      <c r="D55" t="s">
        <v>495</v>
      </c>
      <c r="E55" t="s">
        <v>489</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35">
      <c r="A56" t="s">
        <v>389</v>
      </c>
      <c r="B56" t="s">
        <v>608</v>
      </c>
      <c r="C56" t="s">
        <v>609</v>
      </c>
      <c r="D56" t="s">
        <v>495</v>
      </c>
      <c r="E56" t="s">
        <v>489</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35">
      <c r="A57" t="s">
        <v>389</v>
      </c>
      <c r="B57" t="s">
        <v>610</v>
      </c>
      <c r="C57" t="s">
        <v>611</v>
      </c>
      <c r="D57" t="s">
        <v>495</v>
      </c>
      <c r="E57" t="s">
        <v>489</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35">
      <c r="A58" t="s">
        <v>389</v>
      </c>
      <c r="B58" t="s">
        <v>612</v>
      </c>
      <c r="C58" t="s">
        <v>613</v>
      </c>
      <c r="D58" t="s">
        <v>495</v>
      </c>
      <c r="E58" t="s">
        <v>489</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35">
      <c r="A59" t="s">
        <v>389</v>
      </c>
      <c r="B59" t="s">
        <v>614</v>
      </c>
      <c r="C59" t="s">
        <v>615</v>
      </c>
      <c r="D59" t="s">
        <v>495</v>
      </c>
      <c r="E59" t="s">
        <v>489</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35">
      <c r="A60" t="s">
        <v>389</v>
      </c>
      <c r="B60" t="s">
        <v>616</v>
      </c>
      <c r="C60" t="s">
        <v>617</v>
      </c>
      <c r="D60" t="s">
        <v>495</v>
      </c>
      <c r="E60" t="s">
        <v>489</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35">
      <c r="A61" t="s">
        <v>389</v>
      </c>
      <c r="B61" t="s">
        <v>618</v>
      </c>
      <c r="C61" t="s">
        <v>619</v>
      </c>
      <c r="D61" t="s">
        <v>495</v>
      </c>
      <c r="E61" t="s">
        <v>489</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35">
      <c r="A62" t="s">
        <v>389</v>
      </c>
      <c r="B62" t="s">
        <v>518</v>
      </c>
      <c r="C62" t="s">
        <v>519</v>
      </c>
      <c r="D62" t="s">
        <v>428</v>
      </c>
      <c r="E62" t="s">
        <v>489</v>
      </c>
      <c r="F62" s="397"/>
      <c r="G62" s="397">
        <v>0</v>
      </c>
      <c r="H62" s="397">
        <v>0</v>
      </c>
      <c r="I62" s="397">
        <v>86.017013872366903</v>
      </c>
      <c r="J62" s="397">
        <v>89.290259835679095</v>
      </c>
      <c r="K62" s="397">
        <v>88.350269673264293</v>
      </c>
      <c r="L62" s="397">
        <v>88.922360107491897</v>
      </c>
      <c r="M62" s="397">
        <v>91.975774001069198</v>
      </c>
      <c r="N62" s="397"/>
    </row>
    <row r="63" spans="1:14" x14ac:dyDescent="0.35">
      <c r="A63" t="s">
        <v>389</v>
      </c>
      <c r="B63" t="s">
        <v>520</v>
      </c>
      <c r="C63" t="s">
        <v>521</v>
      </c>
      <c r="D63" t="s">
        <v>488</v>
      </c>
      <c r="E63" t="s">
        <v>489</v>
      </c>
      <c r="F63" s="437"/>
      <c r="G63" s="437">
        <v>0</v>
      </c>
      <c r="H63" s="437">
        <v>0</v>
      </c>
      <c r="I63" s="437">
        <v>0</v>
      </c>
      <c r="J63" s="437">
        <v>3.9E-2</v>
      </c>
      <c r="K63" s="437">
        <v>-0.01</v>
      </c>
      <c r="L63" s="437">
        <v>6.7000000000000002E-3</v>
      </c>
      <c r="M63" s="437">
        <v>3.5099999999999999E-2</v>
      </c>
      <c r="N63" s="437"/>
    </row>
    <row r="64" spans="1:14" x14ac:dyDescent="0.35">
      <c r="A64" t="s">
        <v>389</v>
      </c>
      <c r="B64" t="s">
        <v>522</v>
      </c>
      <c r="C64" t="s">
        <v>523</v>
      </c>
      <c r="D64" t="s">
        <v>495</v>
      </c>
      <c r="E64" t="s">
        <v>489</v>
      </c>
      <c r="F64" s="397"/>
      <c r="G64" s="397"/>
      <c r="H64" s="397"/>
      <c r="I64" s="397">
        <v>0</v>
      </c>
      <c r="J64" s="397">
        <v>3.9</v>
      </c>
      <c r="K64" s="397">
        <v>-1</v>
      </c>
      <c r="L64" s="397">
        <v>0.67</v>
      </c>
      <c r="M64" s="397">
        <v>3.51</v>
      </c>
      <c r="N64" s="397"/>
    </row>
    <row r="65" spans="1:14" x14ac:dyDescent="0.35">
      <c r="A65" t="s">
        <v>389</v>
      </c>
      <c r="B65" t="s">
        <v>524</v>
      </c>
      <c r="C65" t="s">
        <v>525</v>
      </c>
      <c r="D65" t="s">
        <v>428</v>
      </c>
      <c r="E65" t="s">
        <v>489</v>
      </c>
      <c r="F65" s="397"/>
      <c r="G65" s="397">
        <v>0</v>
      </c>
      <c r="H65" s="397">
        <v>0</v>
      </c>
      <c r="I65" s="397">
        <v>786.52003296126099</v>
      </c>
      <c r="J65" s="397">
        <v>823.43838026562003</v>
      </c>
      <c r="K65" s="397">
        <v>843.29971566635902</v>
      </c>
      <c r="L65" s="397">
        <v>853.94993101714795</v>
      </c>
      <c r="M65" s="397">
        <v>855.76828216534705</v>
      </c>
      <c r="N65" s="397"/>
    </row>
    <row r="66" spans="1:14" x14ac:dyDescent="0.35">
      <c r="A66" t="s">
        <v>389</v>
      </c>
      <c r="B66" t="s">
        <v>526</v>
      </c>
      <c r="C66" t="s">
        <v>527</v>
      </c>
      <c r="D66" t="s">
        <v>488</v>
      </c>
      <c r="E66" t="s">
        <v>489</v>
      </c>
      <c r="F66" s="437"/>
      <c r="G66" s="437">
        <v>0</v>
      </c>
      <c r="H66" s="437">
        <v>0</v>
      </c>
      <c r="I66" s="437">
        <v>0</v>
      </c>
      <c r="J66" s="437">
        <v>4.8000000000000001E-2</v>
      </c>
      <c r="K66" s="437">
        <v>2.5399999999999999E-2</v>
      </c>
      <c r="L66" s="437">
        <v>1.2999999999999999E-2</v>
      </c>
      <c r="M66" s="437">
        <v>2.2000000000000001E-3</v>
      </c>
      <c r="N66" s="437"/>
    </row>
    <row r="67" spans="1:14" x14ac:dyDescent="0.35">
      <c r="A67" t="s">
        <v>389</v>
      </c>
      <c r="B67" t="s">
        <v>528</v>
      </c>
      <c r="C67" t="s">
        <v>529</v>
      </c>
      <c r="D67" t="s">
        <v>495</v>
      </c>
      <c r="E67" t="s">
        <v>489</v>
      </c>
      <c r="F67" s="397"/>
      <c r="G67" s="397"/>
      <c r="H67" s="397"/>
      <c r="I67" s="397">
        <v>0</v>
      </c>
      <c r="J67" s="397">
        <v>7.44</v>
      </c>
      <c r="K67" s="397">
        <v>0.04</v>
      </c>
      <c r="L67" s="397">
        <v>1.3</v>
      </c>
      <c r="M67" s="397">
        <v>0.22</v>
      </c>
      <c r="N67" s="397"/>
    </row>
    <row r="68" spans="1:14" x14ac:dyDescent="0.35">
      <c r="A68" t="s">
        <v>389</v>
      </c>
      <c r="B68" t="s">
        <v>530</v>
      </c>
      <c r="C68" t="s">
        <v>531</v>
      </c>
      <c r="D68" t="s">
        <v>428</v>
      </c>
      <c r="E68" t="s">
        <v>489</v>
      </c>
      <c r="F68" s="397"/>
      <c r="G68" s="397">
        <v>0</v>
      </c>
      <c r="H68" s="397">
        <v>0</v>
      </c>
      <c r="I68" s="397">
        <v>810.65772476233303</v>
      </c>
      <c r="J68" s="397">
        <v>804.80748275557198</v>
      </c>
      <c r="K68" s="397">
        <v>790.89623819993199</v>
      </c>
      <c r="L68" s="397">
        <v>787.69199497309103</v>
      </c>
      <c r="M68" s="397">
        <v>786.40704835116799</v>
      </c>
      <c r="N68" s="397"/>
    </row>
    <row r="69" spans="1:14" x14ac:dyDescent="0.35">
      <c r="A69" t="s">
        <v>389</v>
      </c>
      <c r="B69" t="s">
        <v>532</v>
      </c>
      <c r="C69" t="s">
        <v>533</v>
      </c>
      <c r="D69" t="s">
        <v>488</v>
      </c>
      <c r="E69" t="s">
        <v>489</v>
      </c>
      <c r="F69" s="437"/>
      <c r="G69" s="437">
        <v>0</v>
      </c>
      <c r="H69" s="437">
        <v>0</v>
      </c>
      <c r="I69" s="437">
        <v>0</v>
      </c>
      <c r="J69" s="437">
        <v>-7.1999999999999998E-3</v>
      </c>
      <c r="K69" s="437">
        <v>-1.6899999999999998E-2</v>
      </c>
      <c r="L69" s="437">
        <v>-4.0000000000000001E-3</v>
      </c>
      <c r="M69" s="437">
        <v>-1.6000000000000001E-3</v>
      </c>
      <c r="N69" s="437"/>
    </row>
    <row r="70" spans="1:14" x14ac:dyDescent="0.35">
      <c r="A70" t="s">
        <v>389</v>
      </c>
      <c r="B70" t="s">
        <v>534</v>
      </c>
      <c r="C70" t="s">
        <v>535</v>
      </c>
      <c r="D70" t="s">
        <v>495</v>
      </c>
      <c r="E70" t="s">
        <v>489</v>
      </c>
      <c r="F70" s="397"/>
      <c r="G70" s="397"/>
      <c r="H70" s="397"/>
      <c r="I70" s="397">
        <v>0</v>
      </c>
      <c r="J70" s="397">
        <v>-0.81</v>
      </c>
      <c r="K70" s="397">
        <v>-1.59</v>
      </c>
      <c r="L70" s="397">
        <v>-0.4</v>
      </c>
      <c r="M70" s="397">
        <v>-0.16</v>
      </c>
      <c r="N70" s="397"/>
    </row>
    <row r="71" spans="1:14" x14ac:dyDescent="0.35">
      <c r="A71" t="s">
        <v>389</v>
      </c>
      <c r="B71" t="s">
        <v>590</v>
      </c>
      <c r="C71" t="s">
        <v>591</v>
      </c>
      <c r="D71" t="s">
        <v>536</v>
      </c>
      <c r="E71" t="s">
        <v>429</v>
      </c>
      <c r="F71" s="397"/>
      <c r="G71" s="397"/>
      <c r="H71" s="397"/>
      <c r="I71" s="397">
        <v>396.33</v>
      </c>
      <c r="J71" s="397">
        <v>401.02</v>
      </c>
      <c r="K71" s="397">
        <v>403.15</v>
      </c>
      <c r="L71" s="397">
        <v>405.29</v>
      </c>
      <c r="M71" s="397">
        <v>407.42</v>
      </c>
      <c r="N71" s="397"/>
    </row>
    <row r="72" spans="1:14" x14ac:dyDescent="0.35">
      <c r="A72" t="s">
        <v>389</v>
      </c>
      <c r="B72" t="s">
        <v>592</v>
      </c>
      <c r="C72" t="s">
        <v>593</v>
      </c>
      <c r="D72" t="s">
        <v>428</v>
      </c>
      <c r="E72" t="s">
        <v>429</v>
      </c>
      <c r="F72" s="397"/>
      <c r="G72" s="397"/>
      <c r="H72" s="397"/>
      <c r="I72" s="397">
        <v>151.224046702436</v>
      </c>
      <c r="J72" s="397">
        <v>158.278675948765</v>
      </c>
      <c r="K72" s="397">
        <v>164.71208024847701</v>
      </c>
      <c r="L72" s="397">
        <v>164.97640494426301</v>
      </c>
      <c r="M72" s="397">
        <v>167.89526243362701</v>
      </c>
      <c r="N72" s="397"/>
    </row>
    <row r="73" spans="1:14" x14ac:dyDescent="0.35">
      <c r="A73" t="s">
        <v>389</v>
      </c>
      <c r="B73" t="s">
        <v>537</v>
      </c>
      <c r="C73" t="s">
        <v>538</v>
      </c>
      <c r="D73" t="s">
        <v>428</v>
      </c>
      <c r="E73" t="s">
        <v>489</v>
      </c>
      <c r="F73" s="438"/>
      <c r="G73" s="438"/>
      <c r="H73" s="438"/>
      <c r="I73" s="438">
        <v>0</v>
      </c>
      <c r="J73" s="438">
        <v>160.76704184397599</v>
      </c>
      <c r="K73" s="438">
        <v>161.62094887885601</v>
      </c>
      <c r="L73" s="438">
        <v>162.47886486695199</v>
      </c>
      <c r="M73" s="438">
        <v>163.33277190183199</v>
      </c>
      <c r="N73" s="438"/>
    </row>
    <row r="74" spans="1:14" x14ac:dyDescent="0.35">
      <c r="A74" t="s">
        <v>389</v>
      </c>
      <c r="B74" t="s">
        <v>594</v>
      </c>
      <c r="C74" t="s">
        <v>595</v>
      </c>
      <c r="D74" t="s">
        <v>428</v>
      </c>
      <c r="E74" t="s">
        <v>429</v>
      </c>
      <c r="F74" s="397"/>
      <c r="G74" s="397"/>
      <c r="H74" s="397"/>
      <c r="I74" s="397">
        <v>139.61199999999999</v>
      </c>
      <c r="J74" s="397">
        <v>143.17699999999999</v>
      </c>
      <c r="K74" s="397">
        <v>146.137</v>
      </c>
      <c r="L74" s="397">
        <v>148.46799999999999</v>
      </c>
      <c r="M74" s="397">
        <v>150.721</v>
      </c>
      <c r="N74" s="397"/>
    </row>
    <row r="75" spans="1:14" x14ac:dyDescent="0.35">
      <c r="A75" t="s">
        <v>389</v>
      </c>
      <c r="B75" t="s">
        <v>539</v>
      </c>
      <c r="C75" t="s">
        <v>540</v>
      </c>
      <c r="D75" t="s">
        <v>428</v>
      </c>
      <c r="E75" t="s">
        <v>489</v>
      </c>
      <c r="F75" s="438"/>
      <c r="G75" s="438"/>
      <c r="H75" s="438"/>
      <c r="I75" s="438">
        <v>0</v>
      </c>
      <c r="J75" s="438">
        <v>143.17699999999999</v>
      </c>
      <c r="K75" s="438">
        <v>146.137</v>
      </c>
      <c r="L75" s="438">
        <v>148.46799999999999</v>
      </c>
      <c r="M75" s="438">
        <v>150.721</v>
      </c>
      <c r="N75" s="438"/>
    </row>
    <row r="76" spans="1:14" x14ac:dyDescent="0.35">
      <c r="A76" t="s">
        <v>389</v>
      </c>
      <c r="B76" t="s">
        <v>541</v>
      </c>
      <c r="C76" t="s">
        <v>542</v>
      </c>
      <c r="D76" t="s">
        <v>543</v>
      </c>
      <c r="E76" t="s">
        <v>489</v>
      </c>
      <c r="F76" s="397"/>
      <c r="G76" s="397"/>
      <c r="H76" s="397"/>
      <c r="I76" s="397"/>
      <c r="J76" s="397"/>
      <c r="K76" s="397"/>
      <c r="L76" s="397"/>
      <c r="M76" s="397"/>
      <c r="N76" s="397"/>
    </row>
    <row r="77" spans="1:14" x14ac:dyDescent="0.35">
      <c r="A77" t="s">
        <v>389</v>
      </c>
      <c r="B77" t="s">
        <v>544</v>
      </c>
      <c r="C77" t="s">
        <v>545</v>
      </c>
      <c r="D77" t="s">
        <v>543</v>
      </c>
      <c r="E77" t="s">
        <v>489</v>
      </c>
      <c r="F77" s="397"/>
      <c r="G77" s="397"/>
      <c r="H77" s="397"/>
      <c r="I77" s="397"/>
      <c r="J77" s="397"/>
      <c r="K77" s="397"/>
      <c r="L77" s="397"/>
      <c r="M77" s="397"/>
      <c r="N77" s="397"/>
    </row>
    <row r="78" spans="1:14" x14ac:dyDescent="0.35">
      <c r="A78" t="s">
        <v>389</v>
      </c>
      <c r="B78" t="s">
        <v>546</v>
      </c>
      <c r="C78" t="s">
        <v>547</v>
      </c>
      <c r="D78" t="s">
        <v>543</v>
      </c>
      <c r="E78" t="s">
        <v>489</v>
      </c>
      <c r="F78" s="397"/>
      <c r="G78" s="397"/>
      <c r="H78" s="397"/>
      <c r="I78" s="397"/>
      <c r="J78" s="397"/>
      <c r="K78" s="397"/>
      <c r="L78" s="397"/>
      <c r="M78" s="397"/>
      <c r="N78" s="397"/>
    </row>
    <row r="79" spans="1:14" x14ac:dyDescent="0.35">
      <c r="A79" t="s">
        <v>389</v>
      </c>
      <c r="B79" t="s">
        <v>548</v>
      </c>
      <c r="C79" t="s">
        <v>549</v>
      </c>
      <c r="D79" t="s">
        <v>543</v>
      </c>
      <c r="E79" t="s">
        <v>489</v>
      </c>
      <c r="F79" s="397"/>
      <c r="G79" s="397"/>
      <c r="H79" s="397"/>
      <c r="I79" s="397"/>
      <c r="J79" s="397"/>
      <c r="K79" s="397"/>
      <c r="L79" s="397"/>
      <c r="M79" s="397"/>
      <c r="N79" s="397"/>
    </row>
    <row r="80" spans="1:14" x14ac:dyDescent="0.35">
      <c r="A80" t="s">
        <v>389</v>
      </c>
      <c r="B80" t="s">
        <v>550</v>
      </c>
      <c r="C80" t="s">
        <v>551</v>
      </c>
      <c r="D80" t="s">
        <v>543</v>
      </c>
      <c r="E80" t="s">
        <v>489</v>
      </c>
      <c r="F80" s="397"/>
      <c r="G80" s="397"/>
      <c r="H80" s="397"/>
      <c r="I80" s="397"/>
      <c r="J80" s="397"/>
      <c r="K80" s="397"/>
      <c r="L80" s="397"/>
      <c r="M80" s="397"/>
      <c r="N80" s="397"/>
    </row>
    <row r="81" spans="1:14" x14ac:dyDescent="0.35">
      <c r="A81" t="s">
        <v>389</v>
      </c>
      <c r="B81" t="s">
        <v>552</v>
      </c>
      <c r="C81" t="s">
        <v>553</v>
      </c>
      <c r="D81" t="s">
        <v>543</v>
      </c>
      <c r="E81" t="s">
        <v>489</v>
      </c>
      <c r="F81" s="397"/>
      <c r="G81" s="397"/>
      <c r="H81" s="397"/>
      <c r="I81" s="397"/>
      <c r="J81" s="397"/>
      <c r="K81" s="397"/>
      <c r="L81" s="397"/>
      <c r="M81" s="397"/>
      <c r="N81" s="397"/>
    </row>
    <row r="82" spans="1:14" x14ac:dyDescent="0.35">
      <c r="A82" t="s">
        <v>389</v>
      </c>
      <c r="B82" t="s">
        <v>554</v>
      </c>
      <c r="C82" t="s">
        <v>555</v>
      </c>
      <c r="D82" t="s">
        <v>495</v>
      </c>
      <c r="E82" t="s">
        <v>489</v>
      </c>
      <c r="F82" s="439"/>
      <c r="G82" s="439"/>
      <c r="H82" s="439"/>
      <c r="I82" s="439"/>
      <c r="J82" s="439"/>
      <c r="K82" s="439"/>
      <c r="L82" s="439"/>
      <c r="M82" s="439"/>
      <c r="N82" s="439"/>
    </row>
    <row r="83" spans="1:14" x14ac:dyDescent="0.35">
      <c r="A83" t="s">
        <v>389</v>
      </c>
      <c r="B83" t="s">
        <v>556</v>
      </c>
      <c r="C83" t="s">
        <v>557</v>
      </c>
      <c r="D83" t="s">
        <v>495</v>
      </c>
      <c r="E83" t="s">
        <v>489</v>
      </c>
      <c r="F83" s="439"/>
      <c r="G83" s="439"/>
      <c r="H83" s="439"/>
      <c r="I83" s="439"/>
      <c r="J83" s="439"/>
      <c r="K83" s="439"/>
      <c r="L83" s="439"/>
      <c r="M83" s="439"/>
      <c r="N83" s="439"/>
    </row>
    <row r="84" spans="1:14" x14ac:dyDescent="0.35">
      <c r="A84" t="s">
        <v>389</v>
      </c>
      <c r="B84" t="s">
        <v>558</v>
      </c>
      <c r="C84" t="s">
        <v>559</v>
      </c>
      <c r="D84" t="s">
        <v>495</v>
      </c>
      <c r="E84" t="s">
        <v>489</v>
      </c>
      <c r="F84" s="439"/>
      <c r="G84" s="439"/>
      <c r="H84" s="439"/>
      <c r="I84" s="439"/>
      <c r="J84" s="439"/>
      <c r="K84" s="439"/>
      <c r="L84" s="439"/>
      <c r="M84" s="439"/>
      <c r="N84" s="439"/>
    </row>
    <row r="85" spans="1:14" x14ac:dyDescent="0.35">
      <c r="A85" t="s">
        <v>389</v>
      </c>
      <c r="B85" t="s">
        <v>560</v>
      </c>
      <c r="C85" t="s">
        <v>561</v>
      </c>
      <c r="D85" t="s">
        <v>495</v>
      </c>
      <c r="E85" t="s">
        <v>489</v>
      </c>
      <c r="F85" s="439"/>
      <c r="G85" s="439"/>
      <c r="H85" s="439"/>
      <c r="I85" s="439"/>
      <c r="J85" s="439"/>
      <c r="K85" s="439"/>
      <c r="L85" s="439"/>
      <c r="M85" s="439"/>
      <c r="N85" s="439"/>
    </row>
    <row r="86" spans="1:14" x14ac:dyDescent="0.35">
      <c r="A86" t="s">
        <v>389</v>
      </c>
      <c r="B86" t="s">
        <v>562</v>
      </c>
      <c r="C86" t="s">
        <v>563</v>
      </c>
      <c r="D86" t="s">
        <v>495</v>
      </c>
      <c r="E86" t="s">
        <v>489</v>
      </c>
      <c r="F86" s="439"/>
      <c r="G86" s="439"/>
      <c r="H86" s="439"/>
      <c r="I86" s="439"/>
      <c r="J86" s="439"/>
      <c r="K86" s="439"/>
      <c r="L86" s="439"/>
      <c r="M86" s="439"/>
      <c r="N86" s="439"/>
    </row>
    <row r="87" spans="1:14" x14ac:dyDescent="0.35">
      <c r="A87" t="s">
        <v>389</v>
      </c>
      <c r="B87" t="s">
        <v>564</v>
      </c>
      <c r="C87" t="s">
        <v>565</v>
      </c>
      <c r="D87" t="s">
        <v>495</v>
      </c>
      <c r="E87" t="s">
        <v>489</v>
      </c>
      <c r="F87" s="439"/>
      <c r="G87" s="439"/>
      <c r="H87" s="439"/>
      <c r="I87" s="439"/>
      <c r="J87" s="439"/>
      <c r="K87" s="439"/>
      <c r="L87" s="439"/>
      <c r="M87" s="439"/>
      <c r="N87" s="439"/>
    </row>
    <row r="88" spans="1:14" x14ac:dyDescent="0.35">
      <c r="A88" t="s">
        <v>389</v>
      </c>
      <c r="B88" t="s">
        <v>566</v>
      </c>
      <c r="C88" t="s">
        <v>567</v>
      </c>
      <c r="D88" t="s">
        <v>488</v>
      </c>
      <c r="E88" t="s">
        <v>429</v>
      </c>
      <c r="F88" s="437"/>
      <c r="G88" s="437"/>
      <c r="H88" s="437"/>
      <c r="I88" s="437"/>
      <c r="J88" s="437"/>
      <c r="K88" s="437"/>
      <c r="L88" s="437"/>
      <c r="M88" s="437"/>
      <c r="N88" s="437"/>
    </row>
    <row r="89" spans="1:14" x14ac:dyDescent="0.35">
      <c r="A89" t="s">
        <v>389</v>
      </c>
      <c r="B89" t="s">
        <v>568</v>
      </c>
      <c r="C89" t="s">
        <v>569</v>
      </c>
      <c r="D89" t="s">
        <v>488</v>
      </c>
      <c r="E89" t="s">
        <v>429</v>
      </c>
      <c r="F89" s="437"/>
      <c r="G89" s="437"/>
      <c r="H89" s="437"/>
      <c r="I89" s="437"/>
      <c r="J89" s="437"/>
      <c r="K89" s="437"/>
      <c r="L89" s="437"/>
      <c r="M89" s="437"/>
      <c r="N89" s="437"/>
    </row>
    <row r="90" spans="1:14" x14ac:dyDescent="0.35">
      <c r="A90" t="s">
        <v>389</v>
      </c>
      <c r="B90" t="s">
        <v>570</v>
      </c>
      <c r="C90" t="s">
        <v>571</v>
      </c>
      <c r="D90" t="s">
        <v>488</v>
      </c>
      <c r="E90" t="s">
        <v>429</v>
      </c>
      <c r="F90" s="437"/>
      <c r="G90" s="437"/>
      <c r="H90" s="437"/>
      <c r="I90" s="437"/>
      <c r="J90" s="437"/>
      <c r="K90" s="437"/>
      <c r="L90" s="437"/>
      <c r="M90" s="437"/>
      <c r="N90" s="437"/>
    </row>
    <row r="91" spans="1:14" x14ac:dyDescent="0.35">
      <c r="A91" t="s">
        <v>389</v>
      </c>
      <c r="B91" t="s">
        <v>572</v>
      </c>
      <c r="C91" t="s">
        <v>573</v>
      </c>
      <c r="D91" t="s">
        <v>488</v>
      </c>
      <c r="E91" t="s">
        <v>429</v>
      </c>
      <c r="F91" s="437"/>
      <c r="G91" s="437"/>
      <c r="H91" s="437"/>
      <c r="I91" s="437"/>
      <c r="J91" s="437"/>
      <c r="K91" s="437"/>
      <c r="L91" s="437"/>
      <c r="M91" s="437"/>
      <c r="N91" s="437"/>
    </row>
    <row r="92" spans="1:14" x14ac:dyDescent="0.35">
      <c r="A92" t="s">
        <v>389</v>
      </c>
      <c r="B92" t="s">
        <v>574</v>
      </c>
      <c r="C92" t="s">
        <v>575</v>
      </c>
      <c r="D92" t="s">
        <v>488</v>
      </c>
      <c r="E92" t="s">
        <v>429</v>
      </c>
      <c r="F92" s="437"/>
      <c r="G92" s="437"/>
      <c r="H92" s="437"/>
      <c r="I92" s="437"/>
      <c r="J92" s="437"/>
      <c r="K92" s="437"/>
      <c r="L92" s="437"/>
      <c r="M92" s="437"/>
      <c r="N92" s="437"/>
    </row>
    <row r="93" spans="1:14" x14ac:dyDescent="0.35">
      <c r="A93" t="s">
        <v>389</v>
      </c>
      <c r="B93" t="s">
        <v>576</v>
      </c>
      <c r="C93" t="s">
        <v>577</v>
      </c>
      <c r="D93" t="s">
        <v>488</v>
      </c>
      <c r="E93" t="s">
        <v>429</v>
      </c>
      <c r="F93" s="437"/>
      <c r="G93" s="437"/>
      <c r="H93" s="437"/>
      <c r="I93" s="437"/>
      <c r="J93" s="437"/>
      <c r="K93" s="437"/>
      <c r="L93" s="437"/>
      <c r="M93" s="437"/>
      <c r="N93" s="437"/>
    </row>
    <row r="94" spans="1:14" x14ac:dyDescent="0.35">
      <c r="A94" t="s">
        <v>389</v>
      </c>
      <c r="B94" t="s">
        <v>578</v>
      </c>
      <c r="C94" t="s">
        <v>579</v>
      </c>
      <c r="D94" t="s">
        <v>428</v>
      </c>
      <c r="E94" t="s">
        <v>489</v>
      </c>
      <c r="F94" s="397"/>
      <c r="G94" s="397">
        <v>0</v>
      </c>
      <c r="H94" s="397">
        <v>0</v>
      </c>
      <c r="I94" s="397">
        <v>48.128937380422698</v>
      </c>
      <c r="J94" s="397">
        <v>50.311352286247697</v>
      </c>
      <c r="K94" s="397">
        <v>51.644400607842698</v>
      </c>
      <c r="L94" s="397">
        <v>45.817733645454702</v>
      </c>
      <c r="M94" s="397">
        <v>41.022375592065202</v>
      </c>
      <c r="N94" s="397"/>
    </row>
    <row r="95" spans="1:14" x14ac:dyDescent="0.35">
      <c r="A95" t="s">
        <v>389</v>
      </c>
      <c r="B95" t="s">
        <v>580</v>
      </c>
      <c r="C95" t="s">
        <v>581</v>
      </c>
      <c r="D95" t="s">
        <v>488</v>
      </c>
      <c r="E95" t="s">
        <v>489</v>
      </c>
      <c r="F95" s="437"/>
      <c r="G95" s="437">
        <v>0</v>
      </c>
      <c r="H95" s="437">
        <v>0</v>
      </c>
      <c r="I95" s="437">
        <v>0</v>
      </c>
      <c r="J95" s="437">
        <v>4.6399999999999997E-2</v>
      </c>
      <c r="K95" s="437">
        <v>2.7799999999999998E-2</v>
      </c>
      <c r="L95" s="437">
        <v>-0.11509999999999999</v>
      </c>
      <c r="M95" s="437">
        <v>-0.10679999999999901</v>
      </c>
      <c r="N95" s="437"/>
    </row>
    <row r="96" spans="1:14" x14ac:dyDescent="0.35">
      <c r="A96" t="s">
        <v>389</v>
      </c>
      <c r="B96" t="s">
        <v>620</v>
      </c>
      <c r="C96" t="s">
        <v>621</v>
      </c>
      <c r="D96" t="s">
        <v>495</v>
      </c>
      <c r="E96" t="s">
        <v>489</v>
      </c>
      <c r="F96" s="397"/>
      <c r="G96" s="397"/>
      <c r="H96" s="397"/>
      <c r="I96" s="397">
        <v>0</v>
      </c>
      <c r="J96" s="397">
        <v>4.6399999999999997</v>
      </c>
      <c r="K96" s="397">
        <v>2.78</v>
      </c>
      <c r="L96" s="397">
        <v>-11.51</v>
      </c>
      <c r="M96" s="397">
        <v>-10.68</v>
      </c>
      <c r="N96" s="397"/>
    </row>
    <row r="97" spans="1:14" x14ac:dyDescent="0.35">
      <c r="A97" t="s">
        <v>389</v>
      </c>
      <c r="B97" t="s">
        <v>493</v>
      </c>
      <c r="C97" t="s">
        <v>494</v>
      </c>
      <c r="D97" t="s">
        <v>495</v>
      </c>
      <c r="E97" t="s">
        <v>489</v>
      </c>
      <c r="F97" s="398">
        <v>103.2</v>
      </c>
      <c r="G97" s="398">
        <v>105.5</v>
      </c>
      <c r="H97" s="398">
        <v>107.6</v>
      </c>
      <c r="I97" s="398">
        <v>108.6</v>
      </c>
      <c r="J97" s="398"/>
      <c r="K97" s="398"/>
      <c r="L97" s="398"/>
      <c r="M97" s="398"/>
      <c r="N97" s="398"/>
    </row>
    <row r="98" spans="1:14" x14ac:dyDescent="0.35">
      <c r="A98" t="s">
        <v>389</v>
      </c>
      <c r="B98" t="s">
        <v>496</v>
      </c>
      <c r="C98" t="s">
        <v>497</v>
      </c>
      <c r="D98" t="s">
        <v>495</v>
      </c>
      <c r="E98" t="s">
        <v>489</v>
      </c>
      <c r="F98" s="398">
        <v>103.5</v>
      </c>
      <c r="G98" s="398">
        <v>105.9</v>
      </c>
      <c r="H98" s="398">
        <v>107.9</v>
      </c>
      <c r="I98" s="398">
        <v>108.6</v>
      </c>
      <c r="J98" s="398"/>
      <c r="K98" s="398"/>
      <c r="L98" s="398"/>
      <c r="M98" s="398"/>
      <c r="N98" s="398"/>
    </row>
    <row r="99" spans="1:14" x14ac:dyDescent="0.35">
      <c r="A99" t="s">
        <v>389</v>
      </c>
      <c r="B99" t="s">
        <v>498</v>
      </c>
      <c r="C99" t="s">
        <v>499</v>
      </c>
      <c r="D99" t="s">
        <v>495</v>
      </c>
      <c r="E99" t="s">
        <v>489</v>
      </c>
      <c r="F99" s="398">
        <v>103.5</v>
      </c>
      <c r="G99" s="398">
        <v>105.9</v>
      </c>
      <c r="H99" s="398">
        <v>107.9</v>
      </c>
      <c r="I99" s="398">
        <v>108.8</v>
      </c>
      <c r="J99" s="398"/>
      <c r="K99" s="398"/>
      <c r="L99" s="398"/>
      <c r="M99" s="398"/>
      <c r="N99" s="398"/>
    </row>
    <row r="100" spans="1:14" x14ac:dyDescent="0.35">
      <c r="A100" t="s">
        <v>389</v>
      </c>
      <c r="B100" t="s">
        <v>500</v>
      </c>
      <c r="C100" t="s">
        <v>501</v>
      </c>
      <c r="D100" t="s">
        <v>495</v>
      </c>
      <c r="E100" t="s">
        <v>489</v>
      </c>
      <c r="F100" s="398">
        <v>103.5</v>
      </c>
      <c r="G100" s="398">
        <v>105.9</v>
      </c>
      <c r="H100" s="398">
        <v>108</v>
      </c>
      <c r="I100" s="398">
        <v>109.2</v>
      </c>
      <c r="J100" s="398"/>
      <c r="K100" s="398"/>
      <c r="L100" s="398"/>
      <c r="M100" s="398"/>
      <c r="N100" s="398"/>
    </row>
    <row r="101" spans="1:14" x14ac:dyDescent="0.35">
      <c r="A101" t="s">
        <v>389</v>
      </c>
      <c r="B101" t="s">
        <v>502</v>
      </c>
      <c r="C101" t="s">
        <v>503</v>
      </c>
      <c r="D101" t="s">
        <v>495</v>
      </c>
      <c r="E101" t="s">
        <v>489</v>
      </c>
      <c r="F101" s="398">
        <v>104</v>
      </c>
      <c r="G101" s="398">
        <v>106.5</v>
      </c>
      <c r="H101" s="398">
        <v>108.3</v>
      </c>
      <c r="I101" s="398">
        <v>108.8</v>
      </c>
      <c r="J101" s="398"/>
      <c r="K101" s="398"/>
      <c r="L101" s="398"/>
      <c r="M101" s="398"/>
      <c r="N101" s="398"/>
    </row>
    <row r="102" spans="1:14" x14ac:dyDescent="0.35">
      <c r="A102" t="s">
        <v>389</v>
      </c>
      <c r="B102" t="s">
        <v>504</v>
      </c>
      <c r="C102" t="s">
        <v>505</v>
      </c>
      <c r="D102" t="s">
        <v>495</v>
      </c>
      <c r="E102" t="s">
        <v>489</v>
      </c>
      <c r="F102" s="398">
        <v>104.3</v>
      </c>
      <c r="G102" s="398">
        <v>106.6</v>
      </c>
      <c r="H102" s="398">
        <v>108.4</v>
      </c>
      <c r="I102" s="398">
        <v>109.2</v>
      </c>
      <c r="J102" s="398"/>
      <c r="K102" s="398"/>
      <c r="L102" s="398"/>
      <c r="M102" s="398"/>
      <c r="N102" s="398"/>
    </row>
    <row r="103" spans="1:14" x14ac:dyDescent="0.35">
      <c r="A103" t="s">
        <v>389</v>
      </c>
      <c r="B103" t="s">
        <v>506</v>
      </c>
      <c r="C103" t="s">
        <v>507</v>
      </c>
      <c r="D103" t="s">
        <v>495</v>
      </c>
      <c r="E103" t="s">
        <v>489</v>
      </c>
      <c r="F103" s="398">
        <v>104.4</v>
      </c>
      <c r="G103" s="398">
        <v>106.7</v>
      </c>
      <c r="H103" s="398">
        <v>108.3</v>
      </c>
      <c r="I103" s="398">
        <v>109.2</v>
      </c>
      <c r="J103" s="398"/>
      <c r="K103" s="398"/>
      <c r="L103" s="398"/>
      <c r="M103" s="398"/>
      <c r="N103" s="398"/>
    </row>
    <row r="104" spans="1:14" x14ac:dyDescent="0.35">
      <c r="A104" t="s">
        <v>389</v>
      </c>
      <c r="B104" t="s">
        <v>508</v>
      </c>
      <c r="C104" t="s">
        <v>509</v>
      </c>
      <c r="D104" t="s">
        <v>495</v>
      </c>
      <c r="E104" t="s">
        <v>489</v>
      </c>
      <c r="F104" s="398">
        <v>104.7</v>
      </c>
      <c r="G104" s="398">
        <v>106.9</v>
      </c>
      <c r="H104" s="398">
        <v>108.5</v>
      </c>
      <c r="I104" s="398">
        <v>109.1</v>
      </c>
      <c r="J104" s="398">
        <v>112.6</v>
      </c>
      <c r="K104" s="398"/>
      <c r="L104" s="398"/>
      <c r="M104" s="398"/>
      <c r="N104" s="398"/>
    </row>
    <row r="105" spans="1:14" x14ac:dyDescent="0.35">
      <c r="A105" t="s">
        <v>389</v>
      </c>
      <c r="B105" t="s">
        <v>510</v>
      </c>
      <c r="C105" t="s">
        <v>511</v>
      </c>
      <c r="D105" t="s">
        <v>495</v>
      </c>
      <c r="E105" t="s">
        <v>489</v>
      </c>
      <c r="F105" s="398">
        <v>105</v>
      </c>
      <c r="G105" s="398">
        <v>107.1</v>
      </c>
      <c r="H105" s="398">
        <v>108.5</v>
      </c>
      <c r="I105" s="398">
        <v>109.4</v>
      </c>
      <c r="J105" s="398"/>
      <c r="K105" s="398"/>
      <c r="L105" s="398"/>
      <c r="M105" s="398"/>
      <c r="N105" s="398"/>
    </row>
    <row r="106" spans="1:14" x14ac:dyDescent="0.35">
      <c r="A106" t="s">
        <v>389</v>
      </c>
      <c r="B106" t="s">
        <v>512</v>
      </c>
      <c r="C106" t="s">
        <v>513</v>
      </c>
      <c r="D106" t="s">
        <v>495</v>
      </c>
      <c r="E106" t="s">
        <v>489</v>
      </c>
      <c r="F106" s="398">
        <v>104.5</v>
      </c>
      <c r="G106" s="398">
        <v>106.4</v>
      </c>
      <c r="H106" s="398">
        <v>108.3</v>
      </c>
      <c r="I106" s="398">
        <v>109.3</v>
      </c>
      <c r="J106" s="398"/>
      <c r="K106" s="398"/>
      <c r="L106" s="398"/>
      <c r="M106" s="398"/>
      <c r="N106" s="398"/>
    </row>
    <row r="107" spans="1:14" x14ac:dyDescent="0.35">
      <c r="A107" t="s">
        <v>389</v>
      </c>
      <c r="B107" t="s">
        <v>514</v>
      </c>
      <c r="C107" t="s">
        <v>515</v>
      </c>
      <c r="D107" t="s">
        <v>495</v>
      </c>
      <c r="E107" t="s">
        <v>489</v>
      </c>
      <c r="F107" s="398">
        <v>104.9</v>
      </c>
      <c r="G107" s="398">
        <v>106.8</v>
      </c>
      <c r="H107" s="398">
        <v>108.6</v>
      </c>
      <c r="I107" s="398">
        <v>109.4</v>
      </c>
      <c r="J107" s="398"/>
      <c r="K107" s="398"/>
      <c r="L107" s="398"/>
      <c r="M107" s="398"/>
      <c r="N107" s="398"/>
    </row>
    <row r="108" spans="1:14" x14ac:dyDescent="0.35">
      <c r="A108" t="s">
        <v>389</v>
      </c>
      <c r="B108" t="s">
        <v>516</v>
      </c>
      <c r="C108" t="s">
        <v>517</v>
      </c>
      <c r="D108" t="s">
        <v>495</v>
      </c>
      <c r="E108" t="s">
        <v>489</v>
      </c>
      <c r="F108" s="398">
        <v>105.1</v>
      </c>
      <c r="G108" s="398">
        <v>107</v>
      </c>
      <c r="H108" s="398">
        <v>108.6</v>
      </c>
      <c r="I108" s="398">
        <v>109.7</v>
      </c>
      <c r="J108" s="398"/>
      <c r="K108" s="398"/>
      <c r="L108" s="398"/>
      <c r="M108" s="398"/>
      <c r="N108" s="398"/>
    </row>
    <row r="109" spans="1:14" x14ac:dyDescent="0.35">
      <c r="A109" t="s">
        <v>389</v>
      </c>
      <c r="B109" t="s">
        <v>713</v>
      </c>
      <c r="C109" t="s">
        <v>445</v>
      </c>
      <c r="D109" t="s">
        <v>428</v>
      </c>
      <c r="E109" t="s">
        <v>429</v>
      </c>
      <c r="F109" s="438"/>
      <c r="G109" s="438"/>
      <c r="H109" s="438"/>
      <c r="I109" s="438">
        <v>0</v>
      </c>
      <c r="J109" s="438"/>
      <c r="K109" s="438"/>
      <c r="L109" s="438"/>
      <c r="M109" s="438"/>
      <c r="N109" s="438"/>
    </row>
    <row r="110" spans="1:14" x14ac:dyDescent="0.35">
      <c r="A110" t="s">
        <v>389</v>
      </c>
      <c r="B110" t="s">
        <v>714</v>
      </c>
      <c r="C110" t="s">
        <v>447</v>
      </c>
      <c r="D110" t="s">
        <v>428</v>
      </c>
      <c r="E110" t="s">
        <v>429</v>
      </c>
      <c r="F110" s="438"/>
      <c r="G110" s="438"/>
      <c r="H110" s="438"/>
      <c r="I110" s="438">
        <v>0</v>
      </c>
      <c r="J110" s="438"/>
      <c r="K110" s="438"/>
      <c r="L110" s="438"/>
      <c r="M110" s="438"/>
      <c r="N110" s="438"/>
    </row>
    <row r="111" spans="1:14" x14ac:dyDescent="0.35">
      <c r="A111" t="s">
        <v>389</v>
      </c>
      <c r="B111" t="s">
        <v>715</v>
      </c>
      <c r="C111" t="s">
        <v>449</v>
      </c>
      <c r="D111" t="s">
        <v>428</v>
      </c>
      <c r="E111" t="s">
        <v>429</v>
      </c>
      <c r="F111" s="438"/>
      <c r="G111" s="438"/>
      <c r="H111" s="438"/>
      <c r="I111" s="438">
        <v>0</v>
      </c>
      <c r="J111" s="438"/>
      <c r="K111" s="438"/>
      <c r="L111" s="438"/>
      <c r="M111" s="438"/>
      <c r="N111" s="438"/>
    </row>
    <row r="112" spans="1:14" x14ac:dyDescent="0.35">
      <c r="A112" t="s">
        <v>389</v>
      </c>
      <c r="B112" t="s">
        <v>716</v>
      </c>
      <c r="C112" t="s">
        <v>451</v>
      </c>
      <c r="D112" t="s">
        <v>428</v>
      </c>
      <c r="E112" t="s">
        <v>429</v>
      </c>
      <c r="F112" s="438"/>
      <c r="G112" s="438"/>
      <c r="H112" s="438"/>
      <c r="I112" s="438">
        <v>0</v>
      </c>
      <c r="J112" s="438"/>
      <c r="K112" s="438"/>
      <c r="L112" s="438"/>
      <c r="M112" s="438"/>
      <c r="N112" s="438"/>
    </row>
    <row r="113" spans="1:14" x14ac:dyDescent="0.35">
      <c r="A113" t="s">
        <v>389</v>
      </c>
      <c r="B113" t="s">
        <v>717</v>
      </c>
      <c r="C113" t="s">
        <v>453</v>
      </c>
      <c r="D113" t="s">
        <v>428</v>
      </c>
      <c r="E113" t="s">
        <v>429</v>
      </c>
      <c r="F113" s="438"/>
      <c r="G113" s="438"/>
      <c r="H113" s="438"/>
      <c r="I113" s="438">
        <v>0</v>
      </c>
      <c r="J113" s="438"/>
      <c r="K113" s="438"/>
      <c r="L113" s="438"/>
      <c r="M113" s="438"/>
      <c r="N113" s="438"/>
    </row>
    <row r="114" spans="1:14" x14ac:dyDescent="0.35">
      <c r="A114" t="s">
        <v>389</v>
      </c>
      <c r="B114" t="s">
        <v>718</v>
      </c>
      <c r="C114" t="s">
        <v>455</v>
      </c>
      <c r="D114" t="s">
        <v>428</v>
      </c>
      <c r="E114" t="s">
        <v>429</v>
      </c>
      <c r="F114" s="438"/>
      <c r="G114" s="438"/>
      <c r="H114" s="438"/>
      <c r="I114" s="438">
        <v>0</v>
      </c>
      <c r="J114" s="438"/>
      <c r="K114" s="438"/>
      <c r="L114" s="438"/>
      <c r="M114" s="438"/>
      <c r="N114" s="438"/>
    </row>
    <row r="115" spans="1:14" x14ac:dyDescent="0.35">
      <c r="A115" t="s">
        <v>389</v>
      </c>
      <c r="B115" t="s">
        <v>719</v>
      </c>
      <c r="C115" t="s">
        <v>457</v>
      </c>
      <c r="D115" t="s">
        <v>428</v>
      </c>
      <c r="E115" t="s">
        <v>429</v>
      </c>
      <c r="F115" s="438"/>
      <c r="G115" s="438"/>
      <c r="H115" s="438"/>
      <c r="I115" s="438">
        <v>0</v>
      </c>
      <c r="J115" s="438"/>
      <c r="K115" s="438"/>
      <c r="L115" s="438"/>
      <c r="M115" s="438"/>
      <c r="N115" s="438"/>
    </row>
    <row r="116" spans="1:14" x14ac:dyDescent="0.35">
      <c r="A116" t="s">
        <v>389</v>
      </c>
      <c r="B116" t="s">
        <v>720</v>
      </c>
      <c r="C116" t="s">
        <v>459</v>
      </c>
      <c r="D116" t="s">
        <v>428</v>
      </c>
      <c r="E116" t="s">
        <v>429</v>
      </c>
      <c r="F116" s="438"/>
      <c r="G116" s="438"/>
      <c r="H116" s="438"/>
      <c r="I116" s="438">
        <v>0</v>
      </c>
      <c r="J116" s="438"/>
      <c r="K116" s="438"/>
      <c r="L116" s="438"/>
      <c r="M116" s="438"/>
      <c r="N116" s="438"/>
    </row>
    <row r="117" spans="1:14" x14ac:dyDescent="0.35">
      <c r="A117" t="s">
        <v>389</v>
      </c>
      <c r="B117" t="s">
        <v>721</v>
      </c>
      <c r="C117" t="s">
        <v>461</v>
      </c>
      <c r="D117" t="s">
        <v>428</v>
      </c>
      <c r="E117" t="s">
        <v>429</v>
      </c>
      <c r="F117" s="438"/>
      <c r="G117" s="438"/>
      <c r="H117" s="438"/>
      <c r="I117" s="438">
        <v>0</v>
      </c>
      <c r="J117" s="438"/>
      <c r="K117" s="438"/>
      <c r="L117" s="438"/>
      <c r="M117" s="438"/>
      <c r="N117" s="438"/>
    </row>
    <row r="118" spans="1:14" x14ac:dyDescent="0.35">
      <c r="A118" t="s">
        <v>389</v>
      </c>
      <c r="B118" t="s">
        <v>722</v>
      </c>
      <c r="C118" t="s">
        <v>463</v>
      </c>
      <c r="D118" t="s">
        <v>428</v>
      </c>
      <c r="E118" t="s">
        <v>429</v>
      </c>
      <c r="F118" s="438"/>
      <c r="G118" s="438"/>
      <c r="H118" s="438"/>
      <c r="I118" s="438">
        <v>0</v>
      </c>
      <c r="J118" s="438"/>
      <c r="K118" s="438"/>
      <c r="L118" s="438"/>
      <c r="M118" s="438"/>
      <c r="N118" s="438"/>
    </row>
    <row r="119" spans="1:14" x14ac:dyDescent="0.35">
      <c r="A119" t="s">
        <v>389</v>
      </c>
      <c r="B119" t="s">
        <v>723</v>
      </c>
      <c r="C119" t="s">
        <v>465</v>
      </c>
      <c r="D119" t="s">
        <v>428</v>
      </c>
      <c r="E119" t="s">
        <v>429</v>
      </c>
      <c r="F119" s="438"/>
      <c r="G119" s="438"/>
      <c r="H119" s="438"/>
      <c r="I119" s="438">
        <v>0</v>
      </c>
      <c r="J119" s="438"/>
      <c r="K119" s="438"/>
      <c r="L119" s="438"/>
      <c r="M119" s="438"/>
      <c r="N119" s="438"/>
    </row>
    <row r="120" spans="1:14" x14ac:dyDescent="0.35">
      <c r="A120" t="s">
        <v>389</v>
      </c>
      <c r="B120" t="s">
        <v>724</v>
      </c>
      <c r="C120" t="s">
        <v>467</v>
      </c>
      <c r="D120" t="s">
        <v>428</v>
      </c>
      <c r="E120" t="s">
        <v>429</v>
      </c>
      <c r="F120" s="438"/>
      <c r="G120" s="438"/>
      <c r="H120" s="438"/>
      <c r="I120" s="438">
        <v>0</v>
      </c>
      <c r="J120" s="438"/>
      <c r="K120" s="438"/>
      <c r="L120" s="438"/>
      <c r="M120" s="438"/>
      <c r="N120" s="438"/>
    </row>
    <row r="121" spans="1:14" x14ac:dyDescent="0.35">
      <c r="A121" t="s">
        <v>389</v>
      </c>
      <c r="B121" t="s">
        <v>725</v>
      </c>
      <c r="C121" t="s">
        <v>469</v>
      </c>
      <c r="D121" t="s">
        <v>428</v>
      </c>
      <c r="E121" t="s">
        <v>429</v>
      </c>
      <c r="F121" s="438"/>
      <c r="G121" s="438"/>
      <c r="H121" s="438"/>
      <c r="I121" s="438">
        <v>0</v>
      </c>
      <c r="J121" s="438"/>
      <c r="K121" s="438"/>
      <c r="L121" s="438"/>
      <c r="M121" s="438"/>
      <c r="N121" s="438"/>
    </row>
    <row r="122" spans="1:14" x14ac:dyDescent="0.35">
      <c r="A122" t="s">
        <v>389</v>
      </c>
      <c r="B122" t="s">
        <v>726</v>
      </c>
      <c r="C122" t="s">
        <v>471</v>
      </c>
      <c r="D122" t="s">
        <v>428</v>
      </c>
      <c r="E122" t="s">
        <v>429</v>
      </c>
      <c r="F122" s="438"/>
      <c r="G122" s="438"/>
      <c r="H122" s="438"/>
      <c r="I122" s="438">
        <v>0</v>
      </c>
      <c r="J122" s="438"/>
      <c r="K122" s="438"/>
      <c r="L122" s="438"/>
      <c r="M122" s="438"/>
      <c r="N122" s="438"/>
    </row>
    <row r="123" spans="1:14" x14ac:dyDescent="0.35">
      <c r="A123" t="s">
        <v>389</v>
      </c>
      <c r="B123" t="s">
        <v>727</v>
      </c>
      <c r="C123" t="s">
        <v>473</v>
      </c>
      <c r="D123" t="s">
        <v>428</v>
      </c>
      <c r="E123" t="s">
        <v>429</v>
      </c>
      <c r="F123" s="438"/>
      <c r="G123" s="438"/>
      <c r="H123" s="438"/>
      <c r="I123" s="438">
        <v>0</v>
      </c>
      <c r="J123" s="438"/>
      <c r="K123" s="438"/>
      <c r="L123" s="438"/>
      <c r="M123" s="438"/>
      <c r="N123" s="438"/>
    </row>
    <row r="124" spans="1:14" x14ac:dyDescent="0.35">
      <c r="A124" t="s">
        <v>389</v>
      </c>
      <c r="B124" t="s">
        <v>728</v>
      </c>
      <c r="C124" t="s">
        <v>475</v>
      </c>
      <c r="D124" t="s">
        <v>428</v>
      </c>
      <c r="E124" t="s">
        <v>429</v>
      </c>
      <c r="F124" s="438"/>
      <c r="G124" s="438"/>
      <c r="H124" s="438"/>
      <c r="I124" s="438">
        <v>-2.6448</v>
      </c>
      <c r="J124" s="438"/>
      <c r="K124" s="438"/>
      <c r="L124" s="438"/>
      <c r="M124" s="438"/>
      <c r="N124" s="438"/>
    </row>
    <row r="125" spans="1:14" x14ac:dyDescent="0.35">
      <c r="A125" t="s">
        <v>389</v>
      </c>
      <c r="B125" t="s">
        <v>729</v>
      </c>
      <c r="C125" t="s">
        <v>477</v>
      </c>
      <c r="D125" t="s">
        <v>428</v>
      </c>
      <c r="E125" t="s">
        <v>429</v>
      </c>
      <c r="F125" s="438"/>
      <c r="G125" s="438"/>
      <c r="H125" s="438"/>
      <c r="I125" s="438">
        <v>-0.13702</v>
      </c>
      <c r="J125" s="438"/>
      <c r="K125" s="438"/>
      <c r="L125" s="438"/>
      <c r="M125" s="438"/>
      <c r="N125" s="438"/>
    </row>
    <row r="126" spans="1:14" x14ac:dyDescent="0.35">
      <c r="A126" t="s">
        <v>389</v>
      </c>
      <c r="B126" t="s">
        <v>730</v>
      </c>
      <c r="C126" t="s">
        <v>479</v>
      </c>
      <c r="D126" t="s">
        <v>428</v>
      </c>
      <c r="E126" t="s">
        <v>429</v>
      </c>
      <c r="F126" s="438"/>
      <c r="G126" s="438"/>
      <c r="H126" s="438"/>
      <c r="I126" s="438">
        <v>-1.2331799999999999</v>
      </c>
      <c r="J126" s="438"/>
      <c r="K126" s="438"/>
      <c r="L126" s="438"/>
      <c r="M126" s="438"/>
      <c r="N126" s="438"/>
    </row>
    <row r="127" spans="1:14" x14ac:dyDescent="0.35">
      <c r="A127" t="s">
        <v>389</v>
      </c>
      <c r="B127" t="s">
        <v>731</v>
      </c>
      <c r="C127" t="s">
        <v>481</v>
      </c>
      <c r="D127" t="s">
        <v>428</v>
      </c>
      <c r="E127" t="s">
        <v>429</v>
      </c>
      <c r="F127" s="438"/>
      <c r="G127" s="438"/>
      <c r="H127" s="438"/>
      <c r="I127" s="438">
        <v>0</v>
      </c>
      <c r="J127" s="438"/>
      <c r="K127" s="438"/>
      <c r="L127" s="438"/>
      <c r="M127" s="438"/>
      <c r="N127" s="438"/>
    </row>
    <row r="128" spans="1:14" x14ac:dyDescent="0.35">
      <c r="A128" t="s">
        <v>389</v>
      </c>
      <c r="B128" t="s">
        <v>732</v>
      </c>
      <c r="C128" t="s">
        <v>483</v>
      </c>
      <c r="D128" t="s">
        <v>428</v>
      </c>
      <c r="E128" t="s">
        <v>429</v>
      </c>
      <c r="F128" s="438"/>
      <c r="G128" s="438"/>
      <c r="H128" s="438"/>
      <c r="I128" s="438">
        <v>0</v>
      </c>
      <c r="J128" s="438"/>
      <c r="K128" s="438"/>
      <c r="L128" s="438"/>
      <c r="M128" s="438"/>
      <c r="N128" s="438"/>
    </row>
    <row r="129" spans="1:14" x14ac:dyDescent="0.35">
      <c r="A129" t="s">
        <v>389</v>
      </c>
      <c r="B129" t="s">
        <v>733</v>
      </c>
      <c r="C129" t="s">
        <v>485</v>
      </c>
      <c r="D129" t="s">
        <v>428</v>
      </c>
      <c r="E129" t="s">
        <v>429</v>
      </c>
      <c r="F129" s="438"/>
      <c r="G129" s="438"/>
      <c r="H129" s="438"/>
      <c r="I129" s="438">
        <v>0</v>
      </c>
      <c r="J129" s="438"/>
      <c r="K129" s="438"/>
      <c r="L129" s="438"/>
      <c r="M129" s="438"/>
      <c r="N129" s="438"/>
    </row>
    <row r="130" spans="1:14" x14ac:dyDescent="0.35">
      <c r="A130" t="s">
        <v>389</v>
      </c>
      <c r="B130" t="s">
        <v>734</v>
      </c>
      <c r="C130" t="s">
        <v>675</v>
      </c>
      <c r="D130" t="s">
        <v>428</v>
      </c>
      <c r="E130" t="s">
        <v>429</v>
      </c>
      <c r="F130" s="438"/>
      <c r="G130" s="438"/>
      <c r="H130" s="438"/>
      <c r="I130" s="438"/>
      <c r="J130" s="438"/>
      <c r="K130" s="438"/>
      <c r="L130" s="438"/>
      <c r="M130" s="438"/>
      <c r="N130" s="438"/>
    </row>
    <row r="131" spans="1:14" x14ac:dyDescent="0.35">
      <c r="A131" t="s">
        <v>389</v>
      </c>
      <c r="B131" t="s">
        <v>735</v>
      </c>
      <c r="C131" t="s">
        <v>676</v>
      </c>
      <c r="D131" t="s">
        <v>428</v>
      </c>
      <c r="E131" t="s">
        <v>429</v>
      </c>
      <c r="F131" s="438"/>
      <c r="G131" s="438"/>
      <c r="H131" s="438"/>
      <c r="I131" s="438"/>
      <c r="J131" s="438"/>
      <c r="K131" s="438"/>
      <c r="L131" s="438"/>
      <c r="M131" s="438"/>
      <c r="N131" s="438"/>
    </row>
    <row r="132" spans="1:14" x14ac:dyDescent="0.35">
      <c r="A132" t="s">
        <v>389</v>
      </c>
      <c r="B132" t="s">
        <v>736</v>
      </c>
      <c r="C132" t="s">
        <v>677</v>
      </c>
      <c r="D132" t="s">
        <v>428</v>
      </c>
      <c r="E132" t="s">
        <v>429</v>
      </c>
      <c r="F132" s="438"/>
      <c r="G132" s="438"/>
      <c r="H132" s="438"/>
      <c r="I132" s="438"/>
      <c r="J132" s="438"/>
      <c r="K132" s="438"/>
      <c r="L132" s="438"/>
      <c r="M132" s="438"/>
      <c r="N132" s="438"/>
    </row>
    <row r="133" spans="1:14" x14ac:dyDescent="0.35">
      <c r="A133" t="s">
        <v>389</v>
      </c>
      <c r="B133" t="s">
        <v>737</v>
      </c>
      <c r="C133" t="s">
        <v>678</v>
      </c>
      <c r="D133" t="s">
        <v>428</v>
      </c>
      <c r="E133" t="s">
        <v>429</v>
      </c>
      <c r="F133" s="438"/>
      <c r="G133" s="438"/>
      <c r="H133" s="438"/>
      <c r="I133" s="438"/>
      <c r="J133" s="438"/>
      <c r="K133" s="438"/>
      <c r="L133" s="438"/>
      <c r="M133" s="438"/>
      <c r="N133" s="438"/>
    </row>
    <row r="134" spans="1:14" x14ac:dyDescent="0.35">
      <c r="A134" t="s">
        <v>389</v>
      </c>
      <c r="B134" t="s">
        <v>738</v>
      </c>
      <c r="C134" t="s">
        <v>679</v>
      </c>
      <c r="D134" t="s">
        <v>428</v>
      </c>
      <c r="E134" t="s">
        <v>429</v>
      </c>
      <c r="F134" s="438"/>
      <c r="G134" s="438"/>
      <c r="H134" s="438"/>
      <c r="I134" s="438"/>
      <c r="J134" s="438"/>
      <c r="K134" s="438"/>
      <c r="L134" s="438"/>
      <c r="M134" s="438"/>
      <c r="N134" s="438"/>
    </row>
    <row r="135" spans="1:14" x14ac:dyDescent="0.35">
      <c r="A135" t="s">
        <v>389</v>
      </c>
      <c r="B135" t="s">
        <v>739</v>
      </c>
      <c r="C135" t="s">
        <v>680</v>
      </c>
      <c r="D135" t="s">
        <v>428</v>
      </c>
      <c r="E135" t="s">
        <v>429</v>
      </c>
      <c r="F135" s="438"/>
      <c r="G135" s="438"/>
      <c r="H135" s="438"/>
      <c r="I135" s="438"/>
      <c r="J135" s="438"/>
      <c r="K135" s="438"/>
      <c r="L135" s="438"/>
      <c r="M135" s="438"/>
      <c r="N135" s="438"/>
    </row>
    <row r="136" spans="1:14" x14ac:dyDescent="0.35">
      <c r="A136" t="s">
        <v>389</v>
      </c>
      <c r="B136" t="s">
        <v>740</v>
      </c>
      <c r="C136" t="s">
        <v>681</v>
      </c>
      <c r="D136" t="s">
        <v>428</v>
      </c>
      <c r="E136" t="s">
        <v>429</v>
      </c>
      <c r="F136" s="438"/>
      <c r="G136" s="438"/>
      <c r="H136" s="438"/>
      <c r="I136" s="438"/>
      <c r="J136" s="438"/>
      <c r="K136" s="438"/>
      <c r="L136" s="438"/>
      <c r="M136" s="438"/>
      <c r="N136" s="438"/>
    </row>
    <row r="137" spans="1:14" x14ac:dyDescent="0.35">
      <c r="A137" t="s">
        <v>389</v>
      </c>
      <c r="B137" t="s">
        <v>741</v>
      </c>
      <c r="C137" t="s">
        <v>120</v>
      </c>
      <c r="D137" t="s">
        <v>428</v>
      </c>
      <c r="E137" t="s">
        <v>429</v>
      </c>
      <c r="F137" s="438"/>
      <c r="G137" s="438"/>
      <c r="H137" s="438"/>
      <c r="I137" s="438">
        <v>-1.7776799999999999E-2</v>
      </c>
      <c r="J137" s="438"/>
      <c r="K137" s="438"/>
      <c r="L137" s="438"/>
      <c r="M137" s="438"/>
      <c r="N137" s="438"/>
    </row>
    <row r="138" spans="1:14" x14ac:dyDescent="0.35">
      <c r="A138" t="s">
        <v>389</v>
      </c>
      <c r="B138" t="s">
        <v>742</v>
      </c>
      <c r="C138" t="s">
        <v>121</v>
      </c>
      <c r="D138" t="s">
        <v>428</v>
      </c>
      <c r="E138" t="s">
        <v>429</v>
      </c>
      <c r="F138" s="438"/>
      <c r="G138" s="438"/>
      <c r="H138" s="438"/>
      <c r="I138" s="438">
        <v>-11.7452800728694</v>
      </c>
      <c r="J138" s="438"/>
      <c r="K138" s="438"/>
      <c r="L138" s="438"/>
      <c r="M138" s="438"/>
      <c r="N138" s="438"/>
    </row>
    <row r="139" spans="1:14" x14ac:dyDescent="0.35">
      <c r="A139" t="s">
        <v>389</v>
      </c>
      <c r="B139" t="s">
        <v>743</v>
      </c>
      <c r="C139" t="s">
        <v>122</v>
      </c>
      <c r="D139" t="s">
        <v>428</v>
      </c>
      <c r="E139" t="s">
        <v>429</v>
      </c>
      <c r="F139" s="438"/>
      <c r="G139" s="438"/>
      <c r="H139" s="438"/>
      <c r="I139" s="438">
        <v>-18.354731000000001</v>
      </c>
      <c r="J139" s="438"/>
      <c r="K139" s="438"/>
      <c r="L139" s="438"/>
      <c r="M139" s="438"/>
      <c r="N139" s="438"/>
    </row>
    <row r="140" spans="1:14" x14ac:dyDescent="0.35">
      <c r="A140" t="s">
        <v>389</v>
      </c>
      <c r="B140" t="s">
        <v>744</v>
      </c>
      <c r="C140" t="s">
        <v>123</v>
      </c>
      <c r="D140" t="s">
        <v>428</v>
      </c>
      <c r="E140" t="s">
        <v>429</v>
      </c>
      <c r="F140" s="438"/>
      <c r="G140" s="438"/>
      <c r="H140" s="438"/>
      <c r="I140" s="438">
        <v>-1.2331799999999999</v>
      </c>
      <c r="J140" s="438"/>
      <c r="K140" s="438"/>
      <c r="L140" s="438"/>
      <c r="M140" s="438"/>
      <c r="N140" s="438"/>
    </row>
    <row r="141" spans="1:14" x14ac:dyDescent="0.35">
      <c r="A141" t="s">
        <v>389</v>
      </c>
      <c r="B141" t="s">
        <v>745</v>
      </c>
      <c r="C141" t="s">
        <v>124</v>
      </c>
      <c r="D141" t="s">
        <v>428</v>
      </c>
      <c r="E141" t="s">
        <v>429</v>
      </c>
      <c r="F141" s="438"/>
      <c r="G141" s="438"/>
      <c r="H141" s="438"/>
      <c r="I141" s="438">
        <v>-0.51939999999999997</v>
      </c>
      <c r="J141" s="438"/>
      <c r="K141" s="438"/>
      <c r="L141" s="438"/>
      <c r="M141" s="438"/>
      <c r="N141" s="438"/>
    </row>
    <row r="142" spans="1:14" x14ac:dyDescent="0.35">
      <c r="A142" t="s">
        <v>389</v>
      </c>
      <c r="B142" t="s">
        <v>746</v>
      </c>
      <c r="C142" t="s">
        <v>125</v>
      </c>
      <c r="D142" t="s">
        <v>428</v>
      </c>
      <c r="E142" t="s">
        <v>429</v>
      </c>
      <c r="F142" s="438"/>
      <c r="G142" s="438"/>
      <c r="H142" s="438"/>
      <c r="I142" s="438">
        <v>0</v>
      </c>
      <c r="J142" s="438"/>
      <c r="K142" s="438"/>
      <c r="L142" s="438"/>
      <c r="M142" s="438"/>
      <c r="N142" s="438"/>
    </row>
    <row r="143" spans="1:14" x14ac:dyDescent="0.35">
      <c r="A143" t="s">
        <v>389</v>
      </c>
      <c r="B143" t="s">
        <v>747</v>
      </c>
      <c r="C143" t="s">
        <v>126</v>
      </c>
      <c r="D143" t="s">
        <v>428</v>
      </c>
      <c r="E143" t="s">
        <v>429</v>
      </c>
      <c r="F143" s="438"/>
      <c r="G143" s="438"/>
      <c r="H143" s="438"/>
      <c r="I143" s="438">
        <v>0</v>
      </c>
      <c r="J143" s="438"/>
      <c r="K143" s="438"/>
      <c r="L143" s="438"/>
      <c r="M143" s="438"/>
      <c r="N143" s="438"/>
    </row>
    <row r="144" spans="1:14" x14ac:dyDescent="0.35">
      <c r="A144" t="s">
        <v>389</v>
      </c>
      <c r="B144" t="s">
        <v>748</v>
      </c>
      <c r="C144" t="s">
        <v>128</v>
      </c>
      <c r="D144" t="s">
        <v>428</v>
      </c>
      <c r="E144" t="s">
        <v>429</v>
      </c>
      <c r="F144" s="438"/>
      <c r="G144" s="438"/>
      <c r="H144" s="438"/>
      <c r="I144" s="438">
        <v>-15.7184829493088</v>
      </c>
      <c r="J144" s="438"/>
      <c r="K144" s="438"/>
      <c r="L144" s="438"/>
      <c r="M144" s="438"/>
      <c r="N144" s="438"/>
    </row>
    <row r="145" spans="1:14" x14ac:dyDescent="0.35">
      <c r="A145" t="s">
        <v>389</v>
      </c>
      <c r="B145" t="s">
        <v>749</v>
      </c>
      <c r="C145" t="s">
        <v>129</v>
      </c>
      <c r="D145" t="s">
        <v>428</v>
      </c>
      <c r="E145" t="s">
        <v>429</v>
      </c>
      <c r="F145" s="438"/>
      <c r="G145" s="438"/>
      <c r="H145" s="438"/>
      <c r="I145" s="438">
        <v>-1.1446635944700501</v>
      </c>
      <c r="J145" s="438"/>
      <c r="K145" s="438"/>
      <c r="L145" s="438"/>
      <c r="M145" s="438"/>
      <c r="N145" s="438"/>
    </row>
    <row r="146" spans="1:14" x14ac:dyDescent="0.35">
      <c r="A146" t="s">
        <v>389</v>
      </c>
      <c r="B146" t="s">
        <v>750</v>
      </c>
      <c r="C146" t="s">
        <v>130</v>
      </c>
      <c r="D146" t="s">
        <v>428</v>
      </c>
      <c r="E146" t="s">
        <v>429</v>
      </c>
      <c r="F146" s="438"/>
      <c r="G146" s="438"/>
      <c r="H146" s="438"/>
      <c r="I146" s="438">
        <v>-0.591096774193548</v>
      </c>
      <c r="J146" s="438"/>
      <c r="K146" s="438"/>
      <c r="L146" s="438"/>
      <c r="M146" s="438"/>
      <c r="N146" s="438"/>
    </row>
    <row r="147" spans="1:14" x14ac:dyDescent="0.35">
      <c r="A147" t="s">
        <v>389</v>
      </c>
      <c r="B147" t="s">
        <v>751</v>
      </c>
      <c r="C147" t="s">
        <v>159</v>
      </c>
      <c r="D147" t="s">
        <v>488</v>
      </c>
      <c r="E147" t="s">
        <v>429</v>
      </c>
      <c r="F147" s="437"/>
      <c r="G147" s="437"/>
      <c r="H147" s="437"/>
      <c r="I147" s="437">
        <v>2.92E-2</v>
      </c>
      <c r="J147" s="437"/>
      <c r="K147" s="437"/>
      <c r="L147" s="437"/>
      <c r="M147" s="437"/>
      <c r="N147" s="437"/>
    </row>
    <row r="148" spans="1:14" x14ac:dyDescent="0.35">
      <c r="A148" t="s">
        <v>389</v>
      </c>
      <c r="B148" t="s">
        <v>752</v>
      </c>
      <c r="C148" t="s">
        <v>161</v>
      </c>
      <c r="D148" t="s">
        <v>488</v>
      </c>
      <c r="E148" t="s">
        <v>429</v>
      </c>
      <c r="F148" s="437"/>
      <c r="G148" s="437"/>
      <c r="H148" s="437"/>
      <c r="I148" s="437">
        <v>2.9600000000000001E-2</v>
      </c>
      <c r="J148" s="437"/>
      <c r="K148" s="437"/>
      <c r="L148" s="437"/>
      <c r="M148" s="437"/>
      <c r="N148" s="437"/>
    </row>
    <row r="149" spans="1:14" x14ac:dyDescent="0.35">
      <c r="A149" t="s">
        <v>389</v>
      </c>
      <c r="B149" t="s">
        <v>753</v>
      </c>
      <c r="C149" t="s">
        <v>162</v>
      </c>
      <c r="D149" t="s">
        <v>495</v>
      </c>
      <c r="E149" t="s">
        <v>429</v>
      </c>
      <c r="F149" s="398"/>
      <c r="G149" s="398"/>
      <c r="H149" s="398"/>
      <c r="I149" s="398">
        <v>1</v>
      </c>
      <c r="J149" s="398"/>
      <c r="K149" s="398"/>
      <c r="L149" s="398"/>
      <c r="M149" s="398"/>
      <c r="N149" s="398"/>
    </row>
    <row r="150" spans="1:14" x14ac:dyDescent="0.35">
      <c r="A150" t="s">
        <v>389</v>
      </c>
      <c r="B150" t="s">
        <v>754</v>
      </c>
      <c r="C150" t="s">
        <v>164</v>
      </c>
      <c r="D150" t="s">
        <v>488</v>
      </c>
      <c r="E150" t="s">
        <v>429</v>
      </c>
      <c r="F150" s="437"/>
      <c r="G150" s="437"/>
      <c r="H150" s="437"/>
      <c r="I150" s="437"/>
      <c r="J150" s="437"/>
      <c r="K150" s="437">
        <v>0.19</v>
      </c>
      <c r="L150" s="437">
        <v>0.19</v>
      </c>
      <c r="M150" s="437">
        <v>0.19</v>
      </c>
      <c r="N150" s="437"/>
    </row>
    <row r="151" spans="1:14" x14ac:dyDescent="0.35">
      <c r="A151" t="s">
        <v>389</v>
      </c>
      <c r="B151" t="s">
        <v>755</v>
      </c>
      <c r="C151" t="s">
        <v>165</v>
      </c>
      <c r="D151" t="s">
        <v>495</v>
      </c>
      <c r="E151" t="s">
        <v>429</v>
      </c>
      <c r="F151" s="443">
        <v>101.8</v>
      </c>
      <c r="G151" s="443">
        <v>104.7</v>
      </c>
      <c r="H151" s="443">
        <v>106.9</v>
      </c>
      <c r="I151" s="443">
        <v>108.5</v>
      </c>
      <c r="J151" s="443">
        <v>109.1</v>
      </c>
      <c r="K151" s="443">
        <v>111.9366</v>
      </c>
      <c r="L151" s="443">
        <v>113.87647073333299</v>
      </c>
      <c r="M151" s="443">
        <v>116.267876618733</v>
      </c>
      <c r="N151" s="443"/>
    </row>
    <row r="152" spans="1:14" x14ac:dyDescent="0.35">
      <c r="A152" t="s">
        <v>389</v>
      </c>
      <c r="B152" t="s">
        <v>756</v>
      </c>
      <c r="C152" t="s">
        <v>181</v>
      </c>
      <c r="D152" t="s">
        <v>428</v>
      </c>
      <c r="E152" t="s">
        <v>429</v>
      </c>
      <c r="F152" s="438"/>
      <c r="G152" s="438"/>
      <c r="H152" s="438">
        <v>89.768007721145906</v>
      </c>
      <c r="I152" s="438"/>
      <c r="J152" s="438"/>
      <c r="K152" s="438"/>
      <c r="L152" s="438"/>
      <c r="M152" s="438"/>
      <c r="N152" s="438"/>
    </row>
    <row r="153" spans="1:14" x14ac:dyDescent="0.35">
      <c r="A153" t="s">
        <v>389</v>
      </c>
      <c r="B153" t="s">
        <v>757</v>
      </c>
      <c r="C153" t="s">
        <v>183</v>
      </c>
      <c r="D153" t="s">
        <v>495</v>
      </c>
      <c r="E153" t="s">
        <v>429</v>
      </c>
      <c r="F153" s="443"/>
      <c r="G153" s="443"/>
      <c r="H153" s="443"/>
      <c r="I153" s="443">
        <v>0</v>
      </c>
      <c r="J153" s="443">
        <v>3.9</v>
      </c>
      <c r="K153" s="443">
        <v>-1</v>
      </c>
      <c r="L153" s="443">
        <v>0.67</v>
      </c>
      <c r="M153" s="443">
        <v>3.51</v>
      </c>
      <c r="N153" s="443"/>
    </row>
    <row r="154" spans="1:14" x14ac:dyDescent="0.35">
      <c r="A154" t="s">
        <v>389</v>
      </c>
      <c r="B154" t="s">
        <v>758</v>
      </c>
      <c r="C154" t="s">
        <v>184</v>
      </c>
      <c r="D154" t="s">
        <v>428</v>
      </c>
      <c r="E154" t="s">
        <v>429</v>
      </c>
      <c r="F154" s="438"/>
      <c r="G154" s="438"/>
      <c r="H154" s="438">
        <v>820.81826854005897</v>
      </c>
      <c r="I154" s="438"/>
      <c r="J154" s="438"/>
      <c r="K154" s="438"/>
      <c r="L154" s="438"/>
      <c r="M154" s="438"/>
      <c r="N154" s="438"/>
    </row>
    <row r="155" spans="1:14" x14ac:dyDescent="0.35">
      <c r="A155" t="s">
        <v>389</v>
      </c>
      <c r="B155" t="s">
        <v>759</v>
      </c>
      <c r="C155" t="s">
        <v>185</v>
      </c>
      <c r="D155" t="s">
        <v>495</v>
      </c>
      <c r="E155" t="s">
        <v>429</v>
      </c>
      <c r="F155" s="443"/>
      <c r="G155" s="443"/>
      <c r="H155" s="443"/>
      <c r="I155" s="443">
        <v>0</v>
      </c>
      <c r="J155" s="443">
        <v>7.44</v>
      </c>
      <c r="K155" s="443">
        <v>0.04</v>
      </c>
      <c r="L155" s="443">
        <v>1.3</v>
      </c>
      <c r="M155" s="443">
        <v>0.22</v>
      </c>
      <c r="N155" s="443"/>
    </row>
    <row r="156" spans="1:14" x14ac:dyDescent="0.35">
      <c r="A156" t="s">
        <v>389</v>
      </c>
      <c r="B156" t="s">
        <v>760</v>
      </c>
      <c r="C156" t="s">
        <v>186</v>
      </c>
      <c r="D156" t="s">
        <v>428</v>
      </c>
      <c r="E156" t="s">
        <v>429</v>
      </c>
      <c r="F156" s="438"/>
      <c r="G156" s="438"/>
      <c r="H156" s="438">
        <v>846.00854667717704</v>
      </c>
      <c r="I156" s="438"/>
      <c r="J156" s="438"/>
      <c r="K156" s="438"/>
      <c r="L156" s="438"/>
      <c r="M156" s="438"/>
      <c r="N156" s="438"/>
    </row>
    <row r="157" spans="1:14" x14ac:dyDescent="0.35">
      <c r="A157" t="s">
        <v>389</v>
      </c>
      <c r="B157" t="s">
        <v>761</v>
      </c>
      <c r="C157" t="s">
        <v>187</v>
      </c>
      <c r="D157" t="s">
        <v>495</v>
      </c>
      <c r="E157" t="s">
        <v>429</v>
      </c>
      <c r="F157" s="443"/>
      <c r="G157" s="443"/>
      <c r="H157" s="443"/>
      <c r="I157" s="443">
        <v>0</v>
      </c>
      <c r="J157" s="443">
        <v>-0.81</v>
      </c>
      <c r="K157" s="443">
        <v>-1.59</v>
      </c>
      <c r="L157" s="443">
        <v>-0.4</v>
      </c>
      <c r="M157" s="443">
        <v>-0.16</v>
      </c>
      <c r="N157" s="443"/>
    </row>
    <row r="158" spans="1:14" x14ac:dyDescent="0.35">
      <c r="A158" t="s">
        <v>389</v>
      </c>
      <c r="B158" t="s">
        <v>762</v>
      </c>
      <c r="C158" t="s">
        <v>188</v>
      </c>
      <c r="D158" t="s">
        <v>428</v>
      </c>
      <c r="E158" t="s">
        <v>429</v>
      </c>
      <c r="F158" s="438"/>
      <c r="G158" s="438"/>
      <c r="H158" s="438"/>
      <c r="I158" s="438"/>
      <c r="J158" s="438">
        <v>160.76704184397599</v>
      </c>
      <c r="K158" s="438">
        <v>161.62094887885601</v>
      </c>
      <c r="L158" s="438">
        <v>162.47886486695199</v>
      </c>
      <c r="M158" s="438">
        <v>163.33277190183199</v>
      </c>
      <c r="N158" s="438"/>
    </row>
    <row r="159" spans="1:14" x14ac:dyDescent="0.35">
      <c r="A159" t="s">
        <v>389</v>
      </c>
      <c r="B159" t="s">
        <v>763</v>
      </c>
      <c r="C159" t="s">
        <v>189</v>
      </c>
      <c r="D159" t="s">
        <v>428</v>
      </c>
      <c r="E159" t="s">
        <v>429</v>
      </c>
      <c r="F159" s="438"/>
      <c r="G159" s="438"/>
      <c r="H159" s="438"/>
      <c r="I159" s="438"/>
      <c r="J159" s="438">
        <v>143.17699999999999</v>
      </c>
      <c r="K159" s="438">
        <v>146.137</v>
      </c>
      <c r="L159" s="438">
        <v>148.46799999999999</v>
      </c>
      <c r="M159" s="438">
        <v>150.721</v>
      </c>
      <c r="N159" s="438"/>
    </row>
    <row r="160" spans="1:14" x14ac:dyDescent="0.35">
      <c r="A160" t="s">
        <v>389</v>
      </c>
      <c r="B160" t="s">
        <v>764</v>
      </c>
      <c r="C160" t="s">
        <v>190</v>
      </c>
      <c r="D160" t="s">
        <v>543</v>
      </c>
      <c r="E160" t="s">
        <v>429</v>
      </c>
      <c r="F160" s="443"/>
      <c r="G160" s="443"/>
      <c r="H160" s="443"/>
      <c r="I160" s="443"/>
      <c r="J160" s="443"/>
      <c r="K160" s="443"/>
      <c r="L160" s="443"/>
      <c r="M160" s="443"/>
      <c r="N160" s="443"/>
    </row>
    <row r="161" spans="1:14" x14ac:dyDescent="0.35">
      <c r="A161" t="s">
        <v>389</v>
      </c>
      <c r="B161" t="s">
        <v>765</v>
      </c>
      <c r="C161" t="s">
        <v>192</v>
      </c>
      <c r="D161" t="s">
        <v>543</v>
      </c>
      <c r="E161" t="s">
        <v>429</v>
      </c>
      <c r="F161" s="443"/>
      <c r="G161" s="443"/>
      <c r="H161" s="443"/>
      <c r="I161" s="443"/>
      <c r="J161" s="443"/>
      <c r="K161" s="443"/>
      <c r="L161" s="443"/>
      <c r="M161" s="443"/>
      <c r="N161" s="443"/>
    </row>
    <row r="162" spans="1:14" x14ac:dyDescent="0.35">
      <c r="A162" t="s">
        <v>389</v>
      </c>
      <c r="B162" t="s">
        <v>766</v>
      </c>
      <c r="C162" t="s">
        <v>193</v>
      </c>
      <c r="D162" t="s">
        <v>543</v>
      </c>
      <c r="E162" t="s">
        <v>429</v>
      </c>
      <c r="F162" s="443"/>
      <c r="G162" s="443"/>
      <c r="H162" s="443"/>
      <c r="I162" s="443"/>
      <c r="J162" s="443"/>
      <c r="K162" s="443"/>
      <c r="L162" s="443"/>
      <c r="M162" s="443"/>
      <c r="N162" s="443"/>
    </row>
    <row r="163" spans="1:14" x14ac:dyDescent="0.35">
      <c r="A163" t="s">
        <v>389</v>
      </c>
      <c r="B163" t="s">
        <v>767</v>
      </c>
      <c r="C163" t="s">
        <v>194</v>
      </c>
      <c r="D163" t="s">
        <v>543</v>
      </c>
      <c r="E163" t="s">
        <v>429</v>
      </c>
      <c r="F163" s="443"/>
      <c r="G163" s="443"/>
      <c r="H163" s="443"/>
      <c r="I163" s="443"/>
      <c r="J163" s="443"/>
      <c r="K163" s="443"/>
      <c r="L163" s="443"/>
      <c r="M163" s="443"/>
      <c r="N163" s="443"/>
    </row>
    <row r="164" spans="1:14" x14ac:dyDescent="0.35">
      <c r="A164" t="s">
        <v>389</v>
      </c>
      <c r="B164" t="s">
        <v>768</v>
      </c>
      <c r="C164" t="s">
        <v>195</v>
      </c>
      <c r="D164" t="s">
        <v>543</v>
      </c>
      <c r="E164" t="s">
        <v>429</v>
      </c>
      <c r="F164" s="443"/>
      <c r="G164" s="443"/>
      <c r="H164" s="443"/>
      <c r="I164" s="443"/>
      <c r="J164" s="443"/>
      <c r="K164" s="443"/>
      <c r="L164" s="443"/>
      <c r="M164" s="443"/>
      <c r="N164" s="443"/>
    </row>
    <row r="165" spans="1:14" x14ac:dyDescent="0.35">
      <c r="A165" t="s">
        <v>389</v>
      </c>
      <c r="B165" t="s">
        <v>769</v>
      </c>
      <c r="C165" t="s">
        <v>622</v>
      </c>
      <c r="D165" t="s">
        <v>543</v>
      </c>
      <c r="E165" t="s">
        <v>429</v>
      </c>
      <c r="F165" s="443"/>
      <c r="G165" s="443"/>
      <c r="H165" s="443"/>
      <c r="I165" s="443"/>
      <c r="J165" s="443"/>
      <c r="K165" s="443"/>
      <c r="L165" s="443"/>
      <c r="M165" s="443"/>
      <c r="N165" s="443"/>
    </row>
    <row r="166" spans="1:14" x14ac:dyDescent="0.35">
      <c r="A166" t="s">
        <v>389</v>
      </c>
      <c r="B166" t="s">
        <v>770</v>
      </c>
      <c r="C166" t="s">
        <v>196</v>
      </c>
      <c r="D166" t="s">
        <v>495</v>
      </c>
      <c r="E166" t="s">
        <v>429</v>
      </c>
      <c r="F166" s="439"/>
      <c r="G166" s="439"/>
      <c r="H166" s="439"/>
      <c r="I166" s="439"/>
      <c r="J166" s="439"/>
      <c r="K166" s="439"/>
      <c r="L166" s="439"/>
      <c r="M166" s="439"/>
      <c r="N166" s="439"/>
    </row>
    <row r="167" spans="1:14" x14ac:dyDescent="0.35">
      <c r="A167" t="s">
        <v>389</v>
      </c>
      <c r="B167" t="s">
        <v>771</v>
      </c>
      <c r="C167" t="s">
        <v>197</v>
      </c>
      <c r="D167" t="s">
        <v>495</v>
      </c>
      <c r="E167" t="s">
        <v>429</v>
      </c>
      <c r="F167" s="439"/>
      <c r="G167" s="439"/>
      <c r="H167" s="439"/>
      <c r="I167" s="439"/>
      <c r="J167" s="439"/>
      <c r="K167" s="439"/>
      <c r="L167" s="439"/>
      <c r="M167" s="439"/>
      <c r="N167" s="439"/>
    </row>
    <row r="168" spans="1:14" x14ac:dyDescent="0.35">
      <c r="A168" t="s">
        <v>389</v>
      </c>
      <c r="B168" t="s">
        <v>772</v>
      </c>
      <c r="C168" t="s">
        <v>198</v>
      </c>
      <c r="D168" t="s">
        <v>495</v>
      </c>
      <c r="E168" t="s">
        <v>429</v>
      </c>
      <c r="F168" s="439"/>
      <c r="G168" s="439"/>
      <c r="H168" s="439"/>
      <c r="I168" s="439"/>
      <c r="J168" s="439"/>
      <c r="K168" s="439"/>
      <c r="L168" s="439"/>
      <c r="M168" s="439"/>
      <c r="N168" s="439"/>
    </row>
    <row r="169" spans="1:14" x14ac:dyDescent="0.35">
      <c r="A169" t="s">
        <v>389</v>
      </c>
      <c r="B169" t="s">
        <v>773</v>
      </c>
      <c r="C169" t="s">
        <v>199</v>
      </c>
      <c r="D169" t="s">
        <v>495</v>
      </c>
      <c r="E169" t="s">
        <v>429</v>
      </c>
      <c r="F169" s="439"/>
      <c r="G169" s="439"/>
      <c r="H169" s="439"/>
      <c r="I169" s="439"/>
      <c r="J169" s="439"/>
      <c r="K169" s="439"/>
      <c r="L169" s="439"/>
      <c r="M169" s="439"/>
      <c r="N169" s="439"/>
    </row>
    <row r="170" spans="1:14" x14ac:dyDescent="0.35">
      <c r="A170" t="s">
        <v>389</v>
      </c>
      <c r="B170" t="s">
        <v>774</v>
      </c>
      <c r="C170" t="s">
        <v>200</v>
      </c>
      <c r="D170" t="s">
        <v>495</v>
      </c>
      <c r="E170" t="s">
        <v>429</v>
      </c>
      <c r="F170" s="439"/>
      <c r="G170" s="439"/>
      <c r="H170" s="439"/>
      <c r="I170" s="439"/>
      <c r="J170" s="439"/>
      <c r="K170" s="439"/>
      <c r="L170" s="439"/>
      <c r="M170" s="439"/>
      <c r="N170" s="439"/>
    </row>
    <row r="171" spans="1:14" x14ac:dyDescent="0.35">
      <c r="A171" t="s">
        <v>389</v>
      </c>
      <c r="B171" t="s">
        <v>775</v>
      </c>
      <c r="C171" t="s">
        <v>623</v>
      </c>
      <c r="D171" t="s">
        <v>495</v>
      </c>
      <c r="E171" t="s">
        <v>429</v>
      </c>
      <c r="F171" s="439"/>
      <c r="G171" s="439"/>
      <c r="H171" s="439"/>
      <c r="I171" s="439"/>
      <c r="J171" s="439"/>
      <c r="K171" s="439"/>
      <c r="L171" s="439"/>
      <c r="M171" s="439"/>
      <c r="N171" s="439"/>
    </row>
    <row r="172" spans="1:14" x14ac:dyDescent="0.35">
      <c r="A172" t="s">
        <v>389</v>
      </c>
      <c r="B172" t="s">
        <v>776</v>
      </c>
      <c r="C172" t="s">
        <v>201</v>
      </c>
      <c r="D172" t="s">
        <v>488</v>
      </c>
      <c r="E172" t="s">
        <v>429</v>
      </c>
      <c r="F172" s="437"/>
      <c r="G172" s="437"/>
      <c r="H172" s="437"/>
      <c r="I172" s="437"/>
      <c r="J172" s="437"/>
      <c r="K172" s="437"/>
      <c r="L172" s="437"/>
      <c r="M172" s="437"/>
      <c r="N172" s="437"/>
    </row>
    <row r="173" spans="1:14" x14ac:dyDescent="0.35">
      <c r="A173" t="s">
        <v>389</v>
      </c>
      <c r="B173" t="s">
        <v>777</v>
      </c>
      <c r="C173" t="s">
        <v>202</v>
      </c>
      <c r="D173" t="s">
        <v>488</v>
      </c>
      <c r="E173" t="s">
        <v>429</v>
      </c>
      <c r="F173" s="437"/>
      <c r="G173" s="437"/>
      <c r="H173" s="437"/>
      <c r="I173" s="437"/>
      <c r="J173" s="437"/>
      <c r="K173" s="437"/>
      <c r="L173" s="437"/>
      <c r="M173" s="437"/>
      <c r="N173" s="437"/>
    </row>
    <row r="174" spans="1:14" x14ac:dyDescent="0.35">
      <c r="A174" t="s">
        <v>389</v>
      </c>
      <c r="B174" t="s">
        <v>778</v>
      </c>
      <c r="C174" t="s">
        <v>203</v>
      </c>
      <c r="D174" t="s">
        <v>488</v>
      </c>
      <c r="E174" t="s">
        <v>429</v>
      </c>
      <c r="F174" s="437"/>
      <c r="G174" s="437"/>
      <c r="H174" s="437"/>
      <c r="I174" s="437"/>
      <c r="J174" s="437"/>
      <c r="K174" s="437"/>
      <c r="L174" s="437"/>
      <c r="M174" s="437"/>
      <c r="N174" s="437"/>
    </row>
    <row r="175" spans="1:14" x14ac:dyDescent="0.35">
      <c r="A175" t="s">
        <v>389</v>
      </c>
      <c r="B175" t="s">
        <v>779</v>
      </c>
      <c r="C175" t="s">
        <v>204</v>
      </c>
      <c r="D175" t="s">
        <v>488</v>
      </c>
      <c r="E175" t="s">
        <v>429</v>
      </c>
      <c r="F175" s="437"/>
      <c r="G175" s="437"/>
      <c r="H175" s="437"/>
      <c r="I175" s="437"/>
      <c r="J175" s="437"/>
      <c r="K175" s="437"/>
      <c r="L175" s="437"/>
      <c r="M175" s="437"/>
      <c r="N175" s="437"/>
    </row>
    <row r="176" spans="1:14" x14ac:dyDescent="0.35">
      <c r="A176" t="s">
        <v>389</v>
      </c>
      <c r="B176" t="s">
        <v>780</v>
      </c>
      <c r="C176" t="s">
        <v>205</v>
      </c>
      <c r="D176" t="s">
        <v>488</v>
      </c>
      <c r="E176" t="s">
        <v>429</v>
      </c>
      <c r="F176" s="437"/>
      <c r="G176" s="437"/>
      <c r="H176" s="437"/>
      <c r="I176" s="437"/>
      <c r="J176" s="437"/>
      <c r="K176" s="437"/>
      <c r="L176" s="437"/>
      <c r="M176" s="437"/>
      <c r="N176" s="437"/>
    </row>
    <row r="177" spans="1:14" x14ac:dyDescent="0.35">
      <c r="A177" t="s">
        <v>389</v>
      </c>
      <c r="B177" t="s">
        <v>781</v>
      </c>
      <c r="C177" t="s">
        <v>624</v>
      </c>
      <c r="D177" t="s">
        <v>488</v>
      </c>
      <c r="E177" t="s">
        <v>429</v>
      </c>
      <c r="F177" s="437"/>
      <c r="G177" s="437"/>
      <c r="H177" s="437"/>
      <c r="I177" s="437"/>
      <c r="J177" s="437"/>
      <c r="K177" s="437"/>
      <c r="L177" s="437"/>
      <c r="M177" s="437"/>
      <c r="N177" s="437"/>
    </row>
    <row r="178" spans="1:14" x14ac:dyDescent="0.35">
      <c r="A178" t="s">
        <v>389</v>
      </c>
      <c r="B178" t="s">
        <v>782</v>
      </c>
      <c r="C178" t="s">
        <v>206</v>
      </c>
      <c r="D178" t="s">
        <v>428</v>
      </c>
      <c r="E178" t="s">
        <v>429</v>
      </c>
      <c r="F178" s="438"/>
      <c r="G178" s="438"/>
      <c r="H178" s="438">
        <v>62.310189119974403</v>
      </c>
      <c r="I178" s="438"/>
      <c r="J178" s="438"/>
      <c r="K178" s="438"/>
      <c r="L178" s="438"/>
      <c r="M178" s="438"/>
      <c r="N178" s="438"/>
    </row>
    <row r="179" spans="1:14" x14ac:dyDescent="0.35">
      <c r="A179" t="s">
        <v>389</v>
      </c>
      <c r="B179" t="s">
        <v>783</v>
      </c>
      <c r="C179" t="s">
        <v>207</v>
      </c>
      <c r="D179" t="s">
        <v>495</v>
      </c>
      <c r="E179" t="s">
        <v>429</v>
      </c>
      <c r="F179" s="443"/>
      <c r="G179" s="443"/>
      <c r="H179" s="443"/>
      <c r="I179" s="443">
        <v>-19.73</v>
      </c>
      <c r="J179" s="443">
        <v>4.6399999999999997</v>
      </c>
      <c r="K179" s="443">
        <v>2.78</v>
      </c>
      <c r="L179" s="443">
        <v>-11.51</v>
      </c>
      <c r="M179" s="443">
        <v>-10.6799999999999</v>
      </c>
      <c r="N179" s="4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35"/>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35">
      <c r="A1" s="118" t="str">
        <f ca="1" xml:space="preserve"> RIGHT(CELL("filename", $A$1), LEN(CELL("filename", $A$1)) - SEARCH("]", CELL("filename", $A$1)))</f>
        <v>Validation</v>
      </c>
      <c r="B1" s="118"/>
      <c r="C1" s="118"/>
      <c r="D1" s="118"/>
      <c r="E1" s="432" t="str">
        <f>InpActive!F9</f>
        <v>Thames Water</v>
      </c>
      <c r="G1" s="347"/>
    </row>
    <row r="2" spans="1:7" x14ac:dyDescent="0.35"/>
    <row r="3" spans="1:7" x14ac:dyDescent="0.35">
      <c r="A3" s="5" t="s">
        <v>112</v>
      </c>
      <c r="B3" s="5" t="s">
        <v>108</v>
      </c>
      <c r="C3" s="5" t="s">
        <v>365</v>
      </c>
      <c r="D3" s="5" t="s">
        <v>366</v>
      </c>
      <c r="E3" s="5" t="s">
        <v>367</v>
      </c>
      <c r="F3" s="348"/>
      <c r="G3" s="348"/>
    </row>
    <row r="4" spans="1:7" ht="81" x14ac:dyDescent="0.35">
      <c r="A4" s="6" t="s">
        <v>418</v>
      </c>
      <c r="B4" s="6" t="s">
        <v>417</v>
      </c>
      <c r="C4" s="6"/>
      <c r="D4" s="6"/>
      <c r="E4" s="6"/>
    </row>
    <row r="5" spans="1:7" x14ac:dyDescent="0.35">
      <c r="A5" s="6" t="s">
        <v>368</v>
      </c>
      <c r="B5" s="6" t="s">
        <v>109</v>
      </c>
      <c r="C5" s="6" t="s">
        <v>369</v>
      </c>
      <c r="D5" s="6" t="b">
        <v>1</v>
      </c>
      <c r="E5" s="6" t="s">
        <v>370</v>
      </c>
      <c r="F5" s="348"/>
      <c r="G5" s="348"/>
    </row>
    <row r="6" spans="1:7" x14ac:dyDescent="0.35">
      <c r="A6" s="6" t="s">
        <v>113</v>
      </c>
      <c r="B6" s="6" t="s">
        <v>371</v>
      </c>
      <c r="C6" s="6" t="s">
        <v>372</v>
      </c>
      <c r="D6" s="6" t="b">
        <v>0</v>
      </c>
      <c r="E6" s="6" t="s">
        <v>373</v>
      </c>
      <c r="F6" s="348"/>
      <c r="G6" s="348"/>
    </row>
    <row r="7" spans="1:7" x14ac:dyDescent="0.35">
      <c r="A7" s="6" t="s">
        <v>374</v>
      </c>
      <c r="B7" s="6" t="s">
        <v>375</v>
      </c>
      <c r="C7" s="6" t="s">
        <v>376</v>
      </c>
      <c r="D7" s="6"/>
      <c r="E7" s="6"/>
    </row>
    <row r="8" spans="1:7" x14ac:dyDescent="0.35">
      <c r="A8" s="6" t="s">
        <v>377</v>
      </c>
      <c r="B8" s="6" t="s">
        <v>378</v>
      </c>
      <c r="C8" s="6" t="s">
        <v>379</v>
      </c>
      <c r="D8" s="349"/>
      <c r="E8" s="349"/>
    </row>
    <row r="9" spans="1:7" x14ac:dyDescent="0.35">
      <c r="A9" s="6" t="s">
        <v>380</v>
      </c>
      <c r="B9" s="6" t="s">
        <v>381</v>
      </c>
      <c r="C9" s="6" t="s">
        <v>382</v>
      </c>
      <c r="D9" s="350"/>
      <c r="E9" s="350"/>
    </row>
    <row r="10" spans="1:7" x14ac:dyDescent="0.35">
      <c r="A10" s="6" t="s">
        <v>383</v>
      </c>
      <c r="B10" s="6" t="s">
        <v>384</v>
      </c>
      <c r="C10" s="6" t="s">
        <v>385</v>
      </c>
      <c r="D10" s="350"/>
      <c r="E10" s="350"/>
    </row>
    <row r="11" spans="1:7" x14ac:dyDescent="0.35">
      <c r="A11" s="115"/>
      <c r="B11" s="6" t="s">
        <v>386</v>
      </c>
      <c r="C11" s="6" t="s">
        <v>387</v>
      </c>
      <c r="D11" s="350"/>
      <c r="E11" s="350"/>
    </row>
    <row r="12" spans="1:7" x14ac:dyDescent="0.35">
      <c r="A12" s="114"/>
      <c r="B12" s="6" t="s">
        <v>388</v>
      </c>
      <c r="C12" s="6" t="s">
        <v>389</v>
      </c>
      <c r="D12" s="350"/>
      <c r="E12" s="350"/>
    </row>
    <row r="13" spans="1:7" x14ac:dyDescent="0.35">
      <c r="A13" s="114"/>
      <c r="B13" s="6" t="s">
        <v>390</v>
      </c>
      <c r="C13" s="6" t="s">
        <v>391</v>
      </c>
      <c r="D13" s="350"/>
      <c r="E13" s="350"/>
    </row>
    <row r="14" spans="1:7" x14ac:dyDescent="0.35">
      <c r="A14" s="114"/>
      <c r="B14" s="6" t="s">
        <v>390</v>
      </c>
      <c r="C14" s="6" t="s">
        <v>784</v>
      </c>
      <c r="D14" s="350"/>
      <c r="E14" s="350"/>
    </row>
    <row r="15" spans="1:7" x14ac:dyDescent="0.35">
      <c r="A15" s="114"/>
      <c r="B15" s="6" t="s">
        <v>392</v>
      </c>
      <c r="C15" s="6" t="s">
        <v>393</v>
      </c>
      <c r="D15" s="350"/>
      <c r="E15" s="350"/>
    </row>
    <row r="16" spans="1:7" x14ac:dyDescent="0.35">
      <c r="A16" s="114"/>
      <c r="B16" s="6" t="s">
        <v>394</v>
      </c>
      <c r="C16" s="6" t="s">
        <v>395</v>
      </c>
      <c r="D16" s="350"/>
      <c r="E16" s="350"/>
    </row>
    <row r="17" spans="1:5" x14ac:dyDescent="0.35">
      <c r="A17" s="114"/>
      <c r="B17" s="6" t="s">
        <v>396</v>
      </c>
      <c r="C17" s="6" t="s">
        <v>397</v>
      </c>
      <c r="D17" s="350"/>
      <c r="E17" s="350"/>
    </row>
    <row r="18" spans="1:5" x14ac:dyDescent="0.35">
      <c r="A18" s="114"/>
      <c r="B18" s="6" t="s">
        <v>398</v>
      </c>
      <c r="C18" s="6" t="s">
        <v>399</v>
      </c>
      <c r="D18" s="350"/>
      <c r="E18" s="350"/>
    </row>
    <row r="19" spans="1:5" x14ac:dyDescent="0.35">
      <c r="A19" s="114"/>
      <c r="B19" s="6" t="s">
        <v>400</v>
      </c>
      <c r="C19" s="6" t="s">
        <v>401</v>
      </c>
      <c r="D19" s="350"/>
      <c r="E19" s="350"/>
    </row>
    <row r="20" spans="1:5" x14ac:dyDescent="0.35">
      <c r="A20" s="114"/>
      <c r="B20" s="6" t="s">
        <v>402</v>
      </c>
      <c r="C20" s="6" t="s">
        <v>403</v>
      </c>
      <c r="D20" s="350"/>
      <c r="E20" s="350"/>
    </row>
    <row r="21" spans="1:5" x14ac:dyDescent="0.35">
      <c r="A21" s="114"/>
      <c r="B21" s="6" t="s">
        <v>404</v>
      </c>
      <c r="C21" s="6" t="s">
        <v>405</v>
      </c>
      <c r="D21" s="350"/>
      <c r="E21" s="350"/>
    </row>
    <row r="22" spans="1:5" x14ac:dyDescent="0.35">
      <c r="A22" s="114"/>
      <c r="B22" s="6" t="s">
        <v>406</v>
      </c>
      <c r="C22" s="6" t="s">
        <v>407</v>
      </c>
      <c r="D22" s="350"/>
      <c r="E22" s="350"/>
    </row>
    <row r="23" spans="1:5" x14ac:dyDescent="0.35"/>
    <row r="24" spans="1:5" s="223" customFormat="1" ht="13.5" x14ac:dyDescent="0.45">
      <c r="A24" s="223" t="s">
        <v>221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sheetPr>
  <dimension ref="A5:M9"/>
  <sheetViews>
    <sheetView zoomScale="90" zoomScaleNormal="90" workbookViewId="0"/>
  </sheetViews>
  <sheetFormatPr defaultRowHeight="13.5" x14ac:dyDescent="0.35"/>
  <cols>
    <col min="1" max="1" width="5.875" style="410" bestFit="1" customWidth="1"/>
    <col min="2" max="2" width="5.375" style="410" customWidth="1"/>
    <col min="3" max="3" width="45.5" style="410" bestFit="1" customWidth="1"/>
    <col min="4" max="4" width="4.25" style="410" bestFit="1" customWidth="1"/>
    <col min="5" max="5" width="5.125" style="410" customWidth="1"/>
    <col min="6" max="15" width="9" style="410" bestFit="1" customWidth="1"/>
    <col min="16" max="16384" width="9" style="410"/>
  </cols>
  <sheetData>
    <row r="5" spans="1:13" x14ac:dyDescent="0.35">
      <c r="C5" s="441"/>
      <c r="F5" s="440">
        <v>43190</v>
      </c>
      <c r="G5" s="440">
        <v>43555</v>
      </c>
      <c r="H5" s="440">
        <v>43921</v>
      </c>
      <c r="I5" s="440">
        <v>44286</v>
      </c>
      <c r="J5" s="440">
        <v>44651</v>
      </c>
      <c r="K5" s="440">
        <v>45016</v>
      </c>
      <c r="L5" s="440">
        <v>45382</v>
      </c>
      <c r="M5" s="440">
        <v>45747</v>
      </c>
    </row>
    <row r="6" spans="1:13" x14ac:dyDescent="0.35">
      <c r="F6" s="410" t="s">
        <v>116</v>
      </c>
      <c r="G6" s="410" t="s">
        <v>424</v>
      </c>
      <c r="H6" s="410" t="s">
        <v>368</v>
      </c>
      <c r="I6" s="410" t="s">
        <v>113</v>
      </c>
      <c r="J6" s="410" t="s">
        <v>374</v>
      </c>
      <c r="K6" s="410" t="s">
        <v>377</v>
      </c>
      <c r="L6" s="410" t="s">
        <v>380</v>
      </c>
      <c r="M6" s="410" t="s">
        <v>383</v>
      </c>
    </row>
    <row r="7" spans="1:13" x14ac:dyDescent="0.35">
      <c r="A7" s="410" t="s">
        <v>369</v>
      </c>
      <c r="C7" s="410" t="s">
        <v>704</v>
      </c>
      <c r="D7" s="410" t="s">
        <v>428</v>
      </c>
      <c r="I7" s="403">
        <v>93.078080116835608</v>
      </c>
      <c r="J7" s="403">
        <v>93.952699850112865</v>
      </c>
      <c r="K7" s="403">
        <v>96.661456835647172</v>
      </c>
      <c r="L7" s="403">
        <v>97.50271234514048</v>
      </c>
      <c r="M7" s="403">
        <v>100.79251849885449</v>
      </c>
    </row>
    <row r="8" spans="1:13" x14ac:dyDescent="0.35">
      <c r="A8" s="410" t="s">
        <v>379</v>
      </c>
      <c r="C8" s="410" t="s">
        <v>704</v>
      </c>
      <c r="D8" s="410" t="s">
        <v>428</v>
      </c>
      <c r="I8" s="403">
        <v>20.513658716927772</v>
      </c>
      <c r="J8" s="403">
        <v>20.739393613400154</v>
      </c>
      <c r="K8" s="403">
        <v>23.585241451958353</v>
      </c>
      <c r="L8" s="403">
        <v>23.839529769499684</v>
      </c>
      <c r="M8" s="403">
        <v>24.06203204734835</v>
      </c>
    </row>
    <row r="9" spans="1:13" x14ac:dyDescent="0.35">
      <c r="A9" s="410" t="s">
        <v>395</v>
      </c>
      <c r="C9" s="410" t="s">
        <v>704</v>
      </c>
      <c r="D9" s="410" t="s">
        <v>428</v>
      </c>
      <c r="I9" s="403">
        <v>72.609136934283299</v>
      </c>
      <c r="J9" s="403">
        <v>73.036808552351729</v>
      </c>
      <c r="K9" s="403">
        <v>73.452547552555245</v>
      </c>
      <c r="L9" s="403">
        <v>73.88014970518978</v>
      </c>
      <c r="M9" s="403">
        <v>74.307751857824329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InpExpected</v>
      </c>
      <c r="B1" s="160"/>
      <c r="C1" s="160"/>
      <c r="D1" s="160"/>
      <c r="E1" s="160"/>
      <c r="F1" s="160"/>
      <c r="G1" s="160"/>
      <c r="H1" s="445" t="str">
        <f>InpExpected!F9</f>
        <v>Thames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Thames Water</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TMS</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450" t="str">
        <f>F_Inputs!B7</f>
        <v>C_APR3H_WR01_IPD01</v>
      </c>
      <c r="B21" s="193"/>
      <c r="C21" s="193"/>
      <c r="D21" s="193"/>
      <c r="E21" s="166" t="s">
        <v>120</v>
      </c>
      <c r="F21" s="277">
        <f xml:space="preserve"> INDEX(F_Inputs!$A$1:$N$179,MATCH(A21,F_Inputs!$B:$B,0),MATCH($F$12,F_Inputs!$A$6:$N$6,1))</f>
        <v>-1.7776799999999999E-2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F_Inputs!B8</f>
        <v>C_APR3H_WN02_IPD01</v>
      </c>
      <c r="B22" s="193"/>
      <c r="C22" s="193"/>
      <c r="D22" s="193"/>
      <c r="E22" s="166" t="s">
        <v>121</v>
      </c>
      <c r="F22" s="277">
        <f xml:space="preserve"> INDEX(F_Inputs!$A$1:$N$179,MATCH(A22,F_Inputs!$B:$B,0),MATCH($F$12,F_Inputs!$A$6:$N$6,1))</f>
        <v>-9.1004800728694004</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F_Inputs!B9</f>
        <v>C_APR3H_WWN03_IPD01</v>
      </c>
      <c r="B23" s="193"/>
      <c r="C23" s="193"/>
      <c r="D23" s="193"/>
      <c r="E23" s="166" t="s">
        <v>122</v>
      </c>
      <c r="F23" s="277">
        <f xml:space="preserve"> INDEX(F_Inputs!$A$1:$N$179,MATCH(A23,F_Inputs!$B:$B,0),MATCH($F$12,F_Inputs!$A$6:$N$6,1))</f>
        <v>-18.354731000000001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F_Inputs!B10</f>
        <v>C_APR3H_BIO04_IPD01</v>
      </c>
      <c r="B24" s="193"/>
      <c r="C24" s="193"/>
      <c r="D24" s="193"/>
      <c r="E24" s="166" t="s">
        <v>123</v>
      </c>
      <c r="F24" s="277">
        <f xml:space="preserve"> INDEX(F_Inputs!$A$1:$N$179,MATCH(A24,F_Inputs!$B:$B,0),MATCH($F$12,F_Inputs!$A$6:$N$6,1))</f>
        <v>-1.2331799999999999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F_Inputs!B11</f>
        <v>C_APR3H_RR05_IPD01</v>
      </c>
      <c r="B25" s="193"/>
      <c r="C25" s="193"/>
      <c r="D25" s="193"/>
      <c r="E25" s="166" t="s">
        <v>124</v>
      </c>
      <c r="F25" s="277">
        <f xml:space="preserve"> INDEX(F_Inputs!$A$1:$N$179,MATCH(A25,F_Inputs!$B:$B,0),MATCH($F$12,F_Inputs!$A$6:$N$6,1))</f>
        <v>-0.51939999999999997</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F_Inputs!B12</f>
        <v>C_APR3H_BR06_IPD01</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F_Inputs!B13</f>
        <v>C_APR3H_DC07_IPD01</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f>
        <v>IPD02_OUT_01</v>
      </c>
      <c r="B30" s="193"/>
      <c r="C30" s="193"/>
      <c r="D30" s="193"/>
      <c r="E30" s="276" t="s">
        <v>128</v>
      </c>
      <c r="F30" s="277">
        <f xml:space="preserve"> INDEX(F_Inputs!$A$1:$N$179,MATCH(A30,F_Inputs!$B:$B,0),MATCH($F$12,F_Inputs!$A$6:$N$6,1))</f>
        <v>-16.753440000000001</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F_Inputs!B17</f>
        <v>IPD03_OUT_01</v>
      </c>
      <c r="B31" s="193"/>
      <c r="C31" s="193"/>
      <c r="D31" s="193"/>
      <c r="E31" s="193" t="s">
        <v>129</v>
      </c>
      <c r="F31" s="277">
        <f xml:space="preserve"> INDEX(F_Inputs!$A$1:$N$179,MATCH(A31,F_Inputs!$B:$B,0),MATCH($F$12,F_Inputs!$A$6:$N$6,1))</f>
        <v>-1.2266323943802</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F_Inputs!B18</f>
        <v>IPD03_OUT_02</v>
      </c>
      <c r="B32" s="193"/>
      <c r="C32" s="193"/>
      <c r="D32" s="193"/>
      <c r="E32" s="193" t="s">
        <v>130</v>
      </c>
      <c r="F32" s="277">
        <f xml:space="preserve"> INDEX(F_Inputs!$A$1:$N$179,MATCH(A32,F_Inputs!$B:$B,0),MATCH($F$12,F_Inputs!$A$6:$N$6,1))</f>
        <v>-0.63421432112364295</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F_Inputs!B19</f>
        <v>IPD04_IN_01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F_Inputs!B20</f>
        <v>IPD04_IN_02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F_Inputs!B21</f>
        <v>IPD04_IN_03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F_Inputs!B22</f>
        <v>IPD04_IN_04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F_Inputs!B23</f>
        <v>IPD04_IN_05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F_Inputs!B24</f>
        <v>IPD04_IN_06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F_Inputs!B25</f>
        <v>IPD04_IN_07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F_Inputs!B26</f>
        <v>IPD04_IN_11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F_Inputs!B27</f>
        <v>IPD04_IN_12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F_Inputs!B28</f>
        <v>IPD04_IN_13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F_Inputs!B29</f>
        <v>IPD04_IN_14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F_Inputs!B30</f>
        <v>IPD04_IN_15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F_Inputs!B31</f>
        <v>IPD04_IN_16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F_Inputs!B32</f>
        <v>IPD04_IN_17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F_Inputs!B33</f>
        <v>IPD04_IN_21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F_Inputs!B34</f>
        <v>IPD04_IN_22</v>
      </c>
      <c r="B57" s="193"/>
      <c r="C57" s="193"/>
      <c r="D57" s="193"/>
      <c r="E57" s="193" t="s">
        <v>151</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F_Inputs!B35</f>
        <v>IPD04_IN_23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F_Inputs!B36</f>
        <v>IPD04_IN_24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F_Inputs!B37</f>
        <v>IPD04_IN_25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F_Inputs!B38</f>
        <v>IPD04_IN_26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F_Inputs!B39</f>
        <v>IPD04_IN_27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F_Inputs!B40</f>
        <v>IPD04_IN_31</v>
      </c>
      <c r="B67" s="193"/>
      <c r="C67" s="193"/>
      <c r="D67" s="193"/>
      <c r="E67" s="193" t="s">
        <v>675</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35">
      <c r="A68" s="193" t="str">
        <f>F_Inputs!B41</f>
        <v>IPD04_IN_32</v>
      </c>
      <c r="B68" s="193"/>
      <c r="C68" s="193"/>
      <c r="D68" s="193"/>
      <c r="E68" s="193" t="s">
        <v>676</v>
      </c>
      <c r="F68" s="277">
        <f xml:space="preserve"> INDEX(F_Inputs!$A$1:$N$179,MATCH(A68,F_Inputs!$B:$B,0),MATCH($F$12,F_Inputs!$A$6:$N$6,1))</f>
        <v>-5.3650000000000002</v>
      </c>
      <c r="G68" s="193" t="str">
        <f t="shared" si="4"/>
        <v>£m (2017-18 FYA CPIH prices)</v>
      </c>
      <c r="H68" s="276"/>
      <c r="I68" s="193"/>
      <c r="J68" s="193"/>
      <c r="K68" s="193"/>
      <c r="L68" s="193"/>
      <c r="M68" s="193"/>
      <c r="N68" s="193"/>
      <c r="O68" s="193"/>
      <c r="P68" s="193"/>
      <c r="Q68" s="193"/>
      <c r="R68" s="193"/>
      <c r="S68" s="193"/>
      <c r="T68" s="193"/>
    </row>
    <row r="69" spans="1:20" s="192" customFormat="1" x14ac:dyDescent="0.35">
      <c r="A69" s="193" t="str">
        <f>F_Inputs!B42</f>
        <v>IPD04_IN_33</v>
      </c>
      <c r="B69" s="193"/>
      <c r="C69" s="193"/>
      <c r="D69" s="193"/>
      <c r="E69" s="193" t="s">
        <v>677</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35">
      <c r="A70" s="193" t="str">
        <f>F_Inputs!B43</f>
        <v>IPD04_IN_34</v>
      </c>
      <c r="B70" s="193"/>
      <c r="C70" s="193"/>
      <c r="D70" s="193"/>
      <c r="E70" s="193" t="s">
        <v>678</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35">
      <c r="A71" s="193" t="str">
        <f>F_Inputs!B44</f>
        <v>IPD04_IN_35</v>
      </c>
      <c r="B71" s="193"/>
      <c r="C71" s="193"/>
      <c r="D71" s="193"/>
      <c r="E71" s="193" t="s">
        <v>679</v>
      </c>
      <c r="F71" s="277">
        <f xml:space="preserve"> INDEX(F_Inputs!$A$1:$N$179,MATCH(A71,F_Inputs!$B:$B,0),MATCH($F$12,F_Inputs!$A$6:$N$6,1))</f>
        <v>0</v>
      </c>
      <c r="G71" s="193" t="str">
        <f t="shared" si="4"/>
        <v>£m (2017-18 FYA CPIH prices)</v>
      </c>
      <c r="H71" s="276"/>
      <c r="I71" s="193"/>
      <c r="J71" s="193"/>
      <c r="K71" s="193"/>
      <c r="L71" s="193"/>
      <c r="M71" s="193"/>
      <c r="N71" s="193"/>
      <c r="O71" s="193"/>
      <c r="P71" s="193"/>
      <c r="Q71" s="193"/>
      <c r="R71" s="193"/>
      <c r="S71" s="193"/>
      <c r="T71" s="193"/>
    </row>
    <row r="72" spans="1:20" s="192" customFormat="1" x14ac:dyDescent="0.35">
      <c r="A72" s="193" t="str">
        <f>F_Inputs!B45</f>
        <v>IPD04_IN_36</v>
      </c>
      <c r="B72" s="193"/>
      <c r="C72" s="193"/>
      <c r="D72" s="193"/>
      <c r="E72" s="193" t="s">
        <v>680</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35">
      <c r="A73" s="193" t="str">
        <f>F_Inputs!B46</f>
        <v>IPD04_IN_37</v>
      </c>
      <c r="B73" s="193"/>
      <c r="C73" s="193"/>
      <c r="D73" s="193"/>
      <c r="E73" s="193" t="s">
        <v>681</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F_Inputs!B47</f>
        <v>PR19FM1822POST</v>
      </c>
      <c r="B79" s="193"/>
      <c r="C79" s="193"/>
      <c r="D79" s="193"/>
      <c r="E79" s="193" t="s">
        <v>159</v>
      </c>
      <c r="F79" s="442">
        <f xml:space="preserve"> F_Inputs!N47</f>
        <v>2.91957638201563E-2</v>
      </c>
      <c r="G79" s="193" t="s">
        <v>160</v>
      </c>
      <c r="H79" s="193">
        <v>61</v>
      </c>
      <c r="I79" s="193"/>
      <c r="J79" s="193"/>
      <c r="K79" s="193"/>
      <c r="L79" s="193"/>
      <c r="M79" s="193"/>
      <c r="N79" s="193"/>
      <c r="O79" s="193"/>
      <c r="P79" s="193"/>
      <c r="Q79" s="193"/>
      <c r="R79" s="193"/>
      <c r="S79" s="193"/>
      <c r="T79" s="193"/>
    </row>
    <row r="80" spans="1:20" s="192" customFormat="1" x14ac:dyDescent="0.35">
      <c r="A80" s="193" t="str">
        <f>F_Inputs!B48</f>
        <v>PR19FM1822APOST</v>
      </c>
      <c r="B80" s="193"/>
      <c r="C80" s="193"/>
      <c r="D80" s="193"/>
      <c r="E80" s="193" t="s">
        <v>161</v>
      </c>
      <c r="F80" s="286">
        <f xml:space="preserve"> F_Inputs!N48</f>
        <v>2.9600000000000001E-2</v>
      </c>
      <c r="G80" s="193" t="s">
        <v>160</v>
      </c>
      <c r="H80" s="193">
        <v>62</v>
      </c>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v>1</v>
      </c>
      <c r="G81" s="193" t="s">
        <v>163</v>
      </c>
      <c r="H81" s="193">
        <v>63</v>
      </c>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F_Inputs!B49</f>
        <v>A3023</v>
      </c>
      <c r="B83" s="193"/>
      <c r="C83" s="193"/>
      <c r="D83" s="193"/>
      <c r="E83" s="279" t="s">
        <v>164</v>
      </c>
      <c r="F83" s="204"/>
      <c r="G83" s="204" t="s">
        <v>160</v>
      </c>
      <c r="H83" s="204">
        <v>0.64</v>
      </c>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F_Inputs!B104</f>
        <v>BB3905NR</v>
      </c>
      <c r="B85" s="193"/>
      <c r="C85" s="193"/>
      <c r="D85" s="193"/>
      <c r="E85" s="166" t="s">
        <v>165</v>
      </c>
      <c r="F85" s="166"/>
      <c r="G85" s="166" t="s">
        <v>87</v>
      </c>
      <c r="H85" s="166">
        <v>65</v>
      </c>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112.6</v>
      </c>
      <c r="Q85" s="364">
        <f xml:space="preserve"> F_Inputs!K104</f>
        <v>0</v>
      </c>
      <c r="R85" s="364">
        <f xml:space="preserve"> F_Inputs!L104</f>
        <v>0</v>
      </c>
      <c r="S85" s="364">
        <f xml:space="preserve"> F_Inputs!M104</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t="str">
        <f>F_Inputs!B50</f>
        <v>PR19INF0002AL</v>
      </c>
      <c r="B88" s="193"/>
      <c r="C88" s="193"/>
      <c r="D88" s="193"/>
      <c r="E88" s="166" t="s">
        <v>167</v>
      </c>
      <c r="F88" s="288">
        <f xml:space="preserve"> F_Inputs!F50</f>
        <v>103.2</v>
      </c>
      <c r="G88" s="117" t="s">
        <v>87</v>
      </c>
      <c r="H88" s="166"/>
      <c r="I88" s="193"/>
      <c r="J88" s="166"/>
      <c r="K88" s="166"/>
      <c r="L88" s="166"/>
      <c r="M88" s="166"/>
      <c r="N88" s="166"/>
      <c r="O88" s="166"/>
      <c r="P88" s="166"/>
      <c r="Q88" s="166"/>
      <c r="R88" s="166"/>
      <c r="S88" s="166"/>
      <c r="T88" s="193"/>
    </row>
    <row r="89" spans="1:20" s="192" customFormat="1" x14ac:dyDescent="0.35">
      <c r="A89" s="193" t="str">
        <f>F_Inputs!B51</f>
        <v>PR19INF0002MY</v>
      </c>
      <c r="B89" s="193"/>
      <c r="C89" s="193"/>
      <c r="D89" s="193"/>
      <c r="E89" s="166" t="s">
        <v>168</v>
      </c>
      <c r="F89" s="288">
        <f xml:space="preserve"> F_Inputs!F51</f>
        <v>103.5</v>
      </c>
      <c r="G89" s="117" t="s">
        <v>87</v>
      </c>
      <c r="H89" s="166"/>
      <c r="I89" s="193"/>
      <c r="J89" s="166"/>
      <c r="K89" s="166"/>
      <c r="L89" s="166"/>
      <c r="M89" s="166"/>
      <c r="N89" s="166"/>
      <c r="O89" s="166"/>
      <c r="P89" s="166"/>
      <c r="Q89" s="166"/>
      <c r="R89" s="166"/>
      <c r="S89" s="166"/>
      <c r="T89" s="193"/>
    </row>
    <row r="90" spans="1:20" s="192" customFormat="1" x14ac:dyDescent="0.35">
      <c r="A90" s="193" t="str">
        <f>F_Inputs!B52</f>
        <v>PR19INF0002JN</v>
      </c>
      <c r="B90" s="193"/>
      <c r="C90" s="193"/>
      <c r="D90" s="193"/>
      <c r="E90" s="166" t="s">
        <v>169</v>
      </c>
      <c r="F90" s="288">
        <f xml:space="preserve"> F_Inputs!F52</f>
        <v>103.5</v>
      </c>
      <c r="G90" s="117" t="s">
        <v>87</v>
      </c>
      <c r="H90" s="166"/>
      <c r="I90" s="193"/>
      <c r="J90" s="166"/>
      <c r="K90" s="166"/>
      <c r="L90" s="166"/>
      <c r="M90" s="166"/>
      <c r="N90" s="166"/>
      <c r="O90" s="166"/>
      <c r="P90" s="166"/>
      <c r="Q90" s="166"/>
      <c r="R90" s="166"/>
      <c r="S90" s="166"/>
      <c r="T90" s="193"/>
    </row>
    <row r="91" spans="1:20" s="192" customFormat="1" x14ac:dyDescent="0.35">
      <c r="A91" s="193" t="str">
        <f>F_Inputs!B53</f>
        <v>PR19INF0002JL</v>
      </c>
      <c r="B91" s="193"/>
      <c r="C91" s="193"/>
      <c r="D91" s="193"/>
      <c r="E91" s="166" t="s">
        <v>170</v>
      </c>
      <c r="F91" s="288">
        <f xml:space="preserve"> F_Inputs!F53</f>
        <v>103.5</v>
      </c>
      <c r="G91" s="117" t="s">
        <v>87</v>
      </c>
      <c r="H91" s="166"/>
      <c r="I91" s="193"/>
      <c r="J91" s="166"/>
      <c r="K91" s="166"/>
      <c r="L91" s="166"/>
      <c r="M91" s="166"/>
      <c r="N91" s="166"/>
      <c r="O91" s="166"/>
      <c r="P91" s="166"/>
      <c r="Q91" s="166"/>
      <c r="R91" s="166"/>
      <c r="S91" s="166"/>
      <c r="T91" s="193"/>
    </row>
    <row r="92" spans="1:20" s="192" customFormat="1" x14ac:dyDescent="0.35">
      <c r="A92" s="193" t="str">
        <f>F_Inputs!B54</f>
        <v>PR19INF0002AT</v>
      </c>
      <c r="B92" s="193"/>
      <c r="C92" s="193"/>
      <c r="D92" s="193"/>
      <c r="E92" s="166" t="s">
        <v>171</v>
      </c>
      <c r="F92" s="288">
        <f xml:space="preserve"> F_Inputs!F54</f>
        <v>104</v>
      </c>
      <c r="G92" s="117" t="s">
        <v>87</v>
      </c>
      <c r="H92" s="166"/>
      <c r="I92" s="193"/>
      <c r="J92" s="166"/>
      <c r="K92" s="166"/>
      <c r="L92" s="166"/>
      <c r="M92" s="166"/>
      <c r="N92" s="166"/>
      <c r="O92" s="166"/>
      <c r="P92" s="166"/>
      <c r="Q92" s="166"/>
      <c r="R92" s="166"/>
      <c r="S92" s="166"/>
      <c r="T92" s="193"/>
    </row>
    <row r="93" spans="1:20" s="192" customFormat="1" x14ac:dyDescent="0.35">
      <c r="A93" s="193" t="str">
        <f>F_Inputs!B55</f>
        <v>PR19INF0002SR</v>
      </c>
      <c r="B93" s="193"/>
      <c r="C93" s="193"/>
      <c r="D93" s="193"/>
      <c r="E93" s="166" t="s">
        <v>172</v>
      </c>
      <c r="F93" s="288">
        <f xml:space="preserve"> F_Inputs!F55</f>
        <v>104.3</v>
      </c>
      <c r="G93" s="117" t="s">
        <v>87</v>
      </c>
      <c r="H93" s="166"/>
      <c r="I93" s="193"/>
      <c r="J93" s="166"/>
      <c r="K93" s="166"/>
      <c r="L93" s="166"/>
      <c r="M93" s="166"/>
      <c r="N93" s="166"/>
      <c r="O93" s="166"/>
      <c r="P93" s="166"/>
      <c r="Q93" s="166"/>
      <c r="R93" s="166"/>
      <c r="S93" s="166"/>
      <c r="T93" s="193"/>
    </row>
    <row r="94" spans="1:20" s="192" customFormat="1" x14ac:dyDescent="0.35">
      <c r="A94" s="193" t="str">
        <f>F_Inputs!B56</f>
        <v>PR19INF0002OR</v>
      </c>
      <c r="B94" s="193"/>
      <c r="C94" s="193"/>
      <c r="D94" s="193"/>
      <c r="E94" s="166" t="s">
        <v>173</v>
      </c>
      <c r="F94" s="288">
        <f xml:space="preserve"> F_Inputs!F56</f>
        <v>104.4</v>
      </c>
      <c r="G94" s="117" t="s">
        <v>87</v>
      </c>
      <c r="H94" s="166"/>
      <c r="I94" s="193"/>
      <c r="J94" s="166"/>
      <c r="K94" s="166"/>
      <c r="L94" s="166"/>
      <c r="M94" s="166"/>
      <c r="N94" s="166"/>
      <c r="O94" s="166"/>
      <c r="P94" s="166"/>
      <c r="Q94" s="166"/>
      <c r="R94" s="166"/>
      <c r="S94" s="166"/>
      <c r="T94" s="193"/>
    </row>
    <row r="95" spans="1:20" s="192" customFormat="1" x14ac:dyDescent="0.35">
      <c r="A95" s="193" t="str">
        <f>F_Inputs!B57</f>
        <v>PR19INF0002NR</v>
      </c>
      <c r="B95" s="193"/>
      <c r="C95" s="193"/>
      <c r="D95" s="193"/>
      <c r="E95" s="166" t="s">
        <v>174</v>
      </c>
      <c r="F95" s="288">
        <f xml:space="preserve"> F_Inputs!F57</f>
        <v>104.7</v>
      </c>
      <c r="G95" s="117" t="s">
        <v>87</v>
      </c>
      <c r="H95" s="166"/>
      <c r="I95" s="193"/>
      <c r="J95" s="166"/>
      <c r="K95" s="166"/>
      <c r="L95" s="166"/>
      <c r="M95" s="166"/>
      <c r="N95" s="166"/>
      <c r="O95" s="166"/>
      <c r="P95" s="166"/>
      <c r="Q95" s="166"/>
      <c r="R95" s="166"/>
      <c r="S95" s="166"/>
      <c r="T95" s="193"/>
    </row>
    <row r="96" spans="1:20" s="192" customFormat="1" x14ac:dyDescent="0.35">
      <c r="A96" s="193" t="str">
        <f>F_Inputs!B58</f>
        <v>PR19INF0002DR</v>
      </c>
      <c r="B96" s="193"/>
      <c r="C96" s="193"/>
      <c r="D96" s="193"/>
      <c r="E96" s="166" t="s">
        <v>175</v>
      </c>
      <c r="F96" s="288">
        <f xml:space="preserve"> F_Inputs!F58</f>
        <v>105</v>
      </c>
      <c r="G96" s="117" t="s">
        <v>87</v>
      </c>
      <c r="H96" s="166"/>
      <c r="I96" s="193"/>
      <c r="J96" s="166"/>
      <c r="K96" s="166"/>
      <c r="L96" s="166"/>
      <c r="M96" s="166"/>
      <c r="N96" s="166"/>
      <c r="O96" s="166"/>
      <c r="P96" s="166"/>
      <c r="Q96" s="166"/>
      <c r="R96" s="166"/>
      <c r="S96" s="166"/>
      <c r="T96" s="193"/>
    </row>
    <row r="97" spans="1:20" s="192" customFormat="1" x14ac:dyDescent="0.35">
      <c r="A97" s="193" t="str">
        <f>F_Inputs!B59</f>
        <v>PR19INF0002JY</v>
      </c>
      <c r="B97" s="193"/>
      <c r="C97" s="193"/>
      <c r="D97" s="193"/>
      <c r="E97" s="166" t="s">
        <v>176</v>
      </c>
      <c r="F97" s="288">
        <f xml:space="preserve"> F_Inputs!F59</f>
        <v>104.5</v>
      </c>
      <c r="G97" s="117" t="s">
        <v>87</v>
      </c>
      <c r="H97" s="166"/>
      <c r="I97" s="193"/>
      <c r="J97" s="166"/>
      <c r="K97" s="166"/>
      <c r="L97" s="166"/>
      <c r="M97" s="166"/>
      <c r="N97" s="166"/>
      <c r="O97" s="166"/>
      <c r="P97" s="166"/>
      <c r="Q97" s="166"/>
      <c r="R97" s="166"/>
      <c r="S97" s="166"/>
      <c r="T97" s="193"/>
    </row>
    <row r="98" spans="1:20" s="192" customFormat="1" x14ac:dyDescent="0.35">
      <c r="A98" s="193" t="str">
        <f>F_Inputs!B60</f>
        <v>PR19INF0002FY</v>
      </c>
      <c r="B98" s="193"/>
      <c r="C98" s="193"/>
      <c r="D98" s="193"/>
      <c r="E98" s="166" t="s">
        <v>177</v>
      </c>
      <c r="F98" s="288">
        <f xml:space="preserve"> F_Inputs!F60</f>
        <v>104.9</v>
      </c>
      <c r="G98" s="117" t="s">
        <v>87</v>
      </c>
      <c r="H98" s="166"/>
      <c r="I98" s="193"/>
      <c r="J98" s="166"/>
      <c r="K98" s="166"/>
      <c r="L98" s="166"/>
      <c r="M98" s="166"/>
      <c r="N98" s="166"/>
      <c r="O98" s="166"/>
      <c r="P98" s="166"/>
      <c r="Q98" s="166"/>
      <c r="R98" s="166"/>
      <c r="S98" s="166"/>
      <c r="T98" s="193"/>
    </row>
    <row r="99" spans="1:20" s="192" customFormat="1" x14ac:dyDescent="0.35">
      <c r="A99" s="193" t="str">
        <f>F_Inputs!B61</f>
        <v>PR19INF0002MH</v>
      </c>
      <c r="B99" s="193"/>
      <c r="C99" s="193"/>
      <c r="D99" s="193"/>
      <c r="E99" s="166" t="s">
        <v>178</v>
      </c>
      <c r="F99" s="288">
        <f xml:space="preserve"> F_Inputs!F61</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80">
        <f>(F_Inputs!I62*((AVERAGE(F_Inputs!$I$50:$I$61)/AVERAGE(F_Inputs!$F$50:$F$61))))/((F_Inputs!$H$57/F_Inputs!$G$57))</f>
        <v>89.768007721145878</v>
      </c>
      <c r="O105" s="165"/>
      <c r="P105" s="165"/>
      <c r="Q105" s="165"/>
      <c r="R105" s="165"/>
      <c r="S105" s="165"/>
      <c r="T105" s="165"/>
    </row>
    <row r="106" spans="1:20" s="92" customFormat="1" x14ac:dyDescent="0.35">
      <c r="A106" s="92" t="str">
        <f>F_Inputs!B64</f>
        <v>C_PR19FM0601POST_PD020_OUT</v>
      </c>
      <c r="D106" s="203"/>
      <c r="E106" s="204" t="s">
        <v>183</v>
      </c>
      <c r="F106" s="204"/>
      <c r="G106" s="204" t="s">
        <v>163</v>
      </c>
      <c r="H106" s="204"/>
      <c r="J106" s="205"/>
      <c r="K106" s="205"/>
      <c r="L106" s="205"/>
      <c r="M106" s="205"/>
      <c r="N106" s="205"/>
      <c r="O106" s="201">
        <f xml:space="preserve"> F_Inputs!I64</f>
        <v>0</v>
      </c>
      <c r="P106" s="201">
        <f xml:space="preserve"> F_Inputs!J64</f>
        <v>3.9</v>
      </c>
      <c r="Q106" s="201">
        <f xml:space="preserve"> F_Inputs!K64</f>
        <v>-1</v>
      </c>
      <c r="R106" s="201">
        <f xml:space="preserve"> F_Inputs!L64</f>
        <v>0.67</v>
      </c>
      <c r="S106" s="201">
        <f xml:space="preserve"> F_Inputs!M64</f>
        <v>3.51</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80">
        <f>(F_Inputs!I65*((AVERAGE(F_Inputs!$I$50:$I$61)/AVERAGE(F_Inputs!$F$50:$F$61))))/((F_Inputs!$H$57/F_Inputs!$G$57))</f>
        <v>820.81826854005851</v>
      </c>
      <c r="O109" s="255"/>
      <c r="P109" s="255"/>
      <c r="Q109" s="255"/>
      <c r="R109" s="255"/>
      <c r="S109" s="255"/>
      <c r="T109" s="165"/>
    </row>
    <row r="110" spans="1:20" s="92" customFormat="1" x14ac:dyDescent="0.35">
      <c r="A110" s="92" t="str">
        <f>F_Inputs!B67</f>
        <v>C_PR19FM0603POST_PD020_OUT</v>
      </c>
      <c r="D110" s="203"/>
      <c r="E110" s="204" t="s">
        <v>185</v>
      </c>
      <c r="F110" s="204"/>
      <c r="G110" s="204" t="s">
        <v>163</v>
      </c>
      <c r="H110" s="204"/>
      <c r="J110" s="205"/>
      <c r="K110" s="205"/>
      <c r="L110" s="205"/>
      <c r="M110" s="205"/>
      <c r="N110" s="205"/>
      <c r="O110" s="201">
        <f xml:space="preserve"> F_Inputs!I67</f>
        <v>0</v>
      </c>
      <c r="P110" s="201">
        <f xml:space="preserve"> F_Inputs!J67</f>
        <v>7.44</v>
      </c>
      <c r="Q110" s="201">
        <f xml:space="preserve"> F_Inputs!K67</f>
        <v>0.04</v>
      </c>
      <c r="R110" s="201">
        <f xml:space="preserve"> F_Inputs!L67</f>
        <v>1.3</v>
      </c>
      <c r="S110" s="201">
        <f xml:space="preserve"> F_Inputs!M67</f>
        <v>0.22</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80">
        <f>(F_Inputs!I68*((AVERAGE(F_Inputs!$I$50:$I$61)/AVERAGE(F_Inputs!$F$50:$F$61))))/((F_Inputs!$H$57/F_Inputs!$G$57))</f>
        <v>846.0085466771767</v>
      </c>
      <c r="O113" s="255"/>
      <c r="P113" s="255"/>
      <c r="Q113" s="255"/>
      <c r="R113" s="255"/>
      <c r="S113" s="255"/>
      <c r="T113" s="165"/>
    </row>
    <row r="114" spans="1:20" s="92" customFormat="1" x14ac:dyDescent="0.35">
      <c r="A114" s="92" t="str">
        <f>F_Inputs!B70</f>
        <v>C_PR19FM0607POST_PD020_OUT</v>
      </c>
      <c r="D114" s="203"/>
      <c r="E114" s="204" t="s">
        <v>187</v>
      </c>
      <c r="F114" s="204"/>
      <c r="G114" s="204" t="s">
        <v>163</v>
      </c>
      <c r="H114" s="204"/>
      <c r="J114" s="205"/>
      <c r="K114" s="205"/>
      <c r="L114" s="205"/>
      <c r="M114" s="205"/>
      <c r="N114" s="205"/>
      <c r="O114" s="201">
        <f xml:space="preserve"> F_Inputs!I70</f>
        <v>0</v>
      </c>
      <c r="P114" s="201">
        <f xml:space="preserve"> F_Inputs!J70</f>
        <v>-0.81</v>
      </c>
      <c r="Q114" s="201">
        <f xml:space="preserve"> F_Inputs!K70</f>
        <v>-1.59</v>
      </c>
      <c r="R114" s="201">
        <f xml:space="preserve"> F_Inputs!L70</f>
        <v>-0.4</v>
      </c>
      <c r="S114" s="201">
        <f xml:space="preserve"> F_Inputs!M70</f>
        <v>-0.16</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80">
        <f>IF(OR($F$10=Validation!$C$5,$F$10=Validation!$C$8,$F$10=Validation!$C$16),INDEX('CMA_BR(URt)'!$A$1:$M$9,MATCH($F$10,'CMA_BR(URt)'!$A:$A,0),MATCH(P$2,'CMA_BR(URt)'!$A$5:$M$5,1)), IF(IFERROR((SUM(F_Inputs!$I$72:$M$72)/SUM(F_Inputs!$I$71:$M$71))*F_Inputs!J71,0)&lt;&gt;0,(SUM(F_Inputs!$I$72:$M$72)/SUM(F_Inputs!$I$71:$M$71))*F_Inputs!J71,0))</f>
        <v>160.76704184397568</v>
      </c>
      <c r="Q117" s="280">
        <f>IF(OR($F$10=Validation!$C$5,$F$10=Validation!$C$8,$F$10=Validation!$C$16),INDEX('CMA_BR(URt)'!$A$1:$M$9,MATCH($F$10,'CMA_BR(URt)'!$A:$A,0),MATCH(Q$2,'CMA_BR(URt)'!$A$5:$M$5,1)), IF(IFERROR((SUM(F_Inputs!$I$72:$M$72)/SUM(F_Inputs!$I$71:$M$71))*F_Inputs!K71,0)&lt;&gt;0,(SUM(F_Inputs!$I$72:$M$72)/SUM(F_Inputs!$I$71:$M$71))*F_Inputs!K71,0))</f>
        <v>161.6209488788559</v>
      </c>
      <c r="R117" s="280">
        <f>IF(OR($F$10=Validation!$C$5,$F$10=Validation!$C$8,$F$10=Validation!$C$16),INDEX('CMA_BR(URt)'!$A$1:$M$9,MATCH($F$10,'CMA_BR(URt)'!$A:$A,0),MATCH(R$2,'CMA_BR(URt)'!$A$5:$M$5,1)), IF(IFERROR((SUM(F_Inputs!$I$72:$M$72)/SUM(F_Inputs!$I$71:$M$71))*F_Inputs!L71,0)&lt;&gt;0,(SUM(F_Inputs!$I$72:$M$72)/SUM(F_Inputs!$I$71:$M$71))*F_Inputs!L71,0))</f>
        <v>162.47886486695154</v>
      </c>
      <c r="S117" s="280">
        <f>IF(OR($F$10=Validation!$C$5,$F$10=Validation!$C$8,$F$10=Validation!$C$16),INDEX('CMA_BR(URt)'!$A$1:$M$9,MATCH($F$10,'CMA_BR(URt)'!$A:$A,0),MATCH(S$2,'CMA_BR(URt)'!$A$5:$M$5,1)), IF(IFERROR((SUM(F_Inputs!$I$72:$M$72)/SUM(F_Inputs!$I$71:$M$71))*F_Inputs!M71,0)&lt;&gt;0,(SUM(F_Inputs!$I$72:$M$72)/SUM(F_Inputs!$I$71:$M$71))*F_Inputs!M71,0))</f>
        <v>163.33277190183176</v>
      </c>
      <c r="T117" s="165"/>
    </row>
    <row r="118" spans="1:20" s="192" customFormat="1" x14ac:dyDescent="0.35">
      <c r="A118" s="193"/>
      <c r="B118" s="193"/>
      <c r="C118" s="193"/>
      <c r="D118" s="198"/>
      <c r="E118" s="193"/>
      <c r="F118" s="193"/>
      <c r="G118" s="193"/>
      <c r="H118" s="193"/>
      <c r="I118" s="193"/>
      <c r="J118" s="193"/>
      <c r="K118" s="193"/>
      <c r="L118" s="193"/>
      <c r="M118" s="193"/>
      <c r="N118" s="166"/>
      <c r="O118" s="433"/>
      <c r="P118" s="433"/>
      <c r="Q118" s="433"/>
      <c r="R118" s="433"/>
      <c r="S118" s="433"/>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F_Inputs!B75</f>
        <v>C_PR19FM1922POST_PD020_OUT</v>
      </c>
      <c r="B120" s="193"/>
      <c r="C120" s="193"/>
      <c r="D120" s="198"/>
      <c r="E120" s="166" t="s">
        <v>189</v>
      </c>
      <c r="F120" s="166"/>
      <c r="G120" s="166" t="s">
        <v>182</v>
      </c>
      <c r="H120" s="166"/>
      <c r="I120" s="193"/>
      <c r="J120" s="165"/>
      <c r="K120" s="165"/>
      <c r="L120" s="165"/>
      <c r="M120" s="165"/>
      <c r="N120" s="165"/>
      <c r="O120" s="255"/>
      <c r="P120" s="280">
        <f xml:space="preserve"> F_Inputs!J75</f>
        <v>143.17699999999999</v>
      </c>
      <c r="Q120" s="280">
        <f xml:space="preserve"> F_Inputs!K75</f>
        <v>146.137</v>
      </c>
      <c r="R120" s="280">
        <f xml:space="preserve"> F_Inputs!L75</f>
        <v>148.46799999999999</v>
      </c>
      <c r="S120" s="280">
        <f xml:space="preserve"> F_Inputs!M75</f>
        <v>150.721</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F_Inputs!B76</f>
        <v>PR19FM2410POST</v>
      </c>
      <c r="B123" s="193"/>
      <c r="C123" s="193"/>
      <c r="D123" s="198"/>
      <c r="E123" s="193" t="s">
        <v>190</v>
      </c>
      <c r="F123" s="193"/>
      <c r="G123" s="193" t="s">
        <v>191</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35">
      <c r="A124" s="193" t="str">
        <f>F_Inputs!B77</f>
        <v>PR19FM2411POST</v>
      </c>
      <c r="B124" s="193"/>
      <c r="C124" s="193"/>
      <c r="D124" s="198"/>
      <c r="E124" s="193" t="s">
        <v>192</v>
      </c>
      <c r="F124" s="166"/>
      <c r="G124" s="193" t="s">
        <v>191</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35">
      <c r="A125" s="193" t="str">
        <f>F_Inputs!B78</f>
        <v>PR19FM2412POST</v>
      </c>
      <c r="B125" s="193"/>
      <c r="C125" s="193"/>
      <c r="D125" s="198"/>
      <c r="E125" s="193" t="s">
        <v>193</v>
      </c>
      <c r="F125" s="166"/>
      <c r="G125" s="193" t="s">
        <v>191</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35">
      <c r="A126" s="193" t="str">
        <f>F_Inputs!B79</f>
        <v>PR19FM2413POST</v>
      </c>
      <c r="B126" s="193"/>
      <c r="C126" s="193"/>
      <c r="D126" s="198"/>
      <c r="E126" s="193" t="s">
        <v>194</v>
      </c>
      <c r="F126" s="166"/>
      <c r="G126" s="193" t="s">
        <v>191</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35">
      <c r="A127" s="193" t="str">
        <f>F_Inputs!B80</f>
        <v>PR19FM2414POST</v>
      </c>
      <c r="B127" s="193"/>
      <c r="C127" s="193"/>
      <c r="D127" s="198"/>
      <c r="E127" s="193" t="s">
        <v>195</v>
      </c>
      <c r="F127" s="166"/>
      <c r="G127" s="193" t="s">
        <v>191</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35">
      <c r="A128" s="193" t="str">
        <f>F_Inputs!B81</f>
        <v>PR19FM2415POST</v>
      </c>
      <c r="B128" s="193"/>
      <c r="C128" s="193"/>
      <c r="D128" s="198"/>
      <c r="E128" s="193" t="s">
        <v>622</v>
      </c>
      <c r="F128" s="166"/>
      <c r="G128" s="193" t="s">
        <v>191</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F_Inputs!B82</f>
        <v>R4D01D03W</v>
      </c>
      <c r="B130" s="193"/>
      <c r="C130" s="193"/>
      <c r="D130" s="198"/>
      <c r="E130" s="193" t="s">
        <v>196</v>
      </c>
      <c r="F130" s="166"/>
      <c r="G130" s="193" t="s">
        <v>163</v>
      </c>
      <c r="H130" s="166"/>
      <c r="I130" s="193"/>
      <c r="J130" s="165"/>
      <c r="K130" s="165"/>
      <c r="L130" s="165"/>
      <c r="M130" s="165"/>
      <c r="N130" s="165"/>
      <c r="O130" s="165"/>
      <c r="P130" s="165"/>
      <c r="Q130" s="424">
        <f xml:space="preserve"> F_Inputs!K82</f>
        <v>0</v>
      </c>
      <c r="R130" s="424">
        <f xml:space="preserve"> F_Inputs!L82</f>
        <v>0</v>
      </c>
      <c r="S130" s="424">
        <f xml:space="preserve"> F_Inputs!M82</f>
        <v>0</v>
      </c>
      <c r="T130" s="165"/>
    </row>
    <row r="131" spans="1:20" s="192" customFormat="1" x14ac:dyDescent="0.35">
      <c r="A131" s="193" t="str">
        <f>F_Inputs!B83</f>
        <v>R4D02D03W</v>
      </c>
      <c r="B131" s="193"/>
      <c r="C131" s="193"/>
      <c r="D131" s="198"/>
      <c r="E131" s="193" t="s">
        <v>197</v>
      </c>
      <c r="F131" s="166"/>
      <c r="G131" s="193" t="s">
        <v>163</v>
      </c>
      <c r="H131" s="166"/>
      <c r="I131" s="193"/>
      <c r="J131" s="165"/>
      <c r="K131" s="165"/>
      <c r="L131" s="165"/>
      <c r="M131" s="165"/>
      <c r="N131" s="165"/>
      <c r="O131" s="165"/>
      <c r="P131" s="165"/>
      <c r="Q131" s="424">
        <f xml:space="preserve"> F_Inputs!K83</f>
        <v>0</v>
      </c>
      <c r="R131" s="424">
        <f xml:space="preserve"> F_Inputs!L83</f>
        <v>0</v>
      </c>
      <c r="S131" s="424">
        <f xml:space="preserve"> F_Inputs!M83</f>
        <v>0</v>
      </c>
      <c r="T131" s="165"/>
    </row>
    <row r="132" spans="1:20" s="192" customFormat="1" x14ac:dyDescent="0.35">
      <c r="A132" s="193" t="str">
        <f>F_Inputs!B84</f>
        <v>R4D03D03W</v>
      </c>
      <c r="B132" s="193"/>
      <c r="C132" s="193"/>
      <c r="D132" s="198"/>
      <c r="E132" s="193" t="s">
        <v>198</v>
      </c>
      <c r="F132" s="166"/>
      <c r="G132" s="193" t="s">
        <v>163</v>
      </c>
      <c r="H132" s="166"/>
      <c r="I132" s="193"/>
      <c r="J132" s="165"/>
      <c r="K132" s="165"/>
      <c r="L132" s="165"/>
      <c r="M132" s="165"/>
      <c r="N132" s="165"/>
      <c r="O132" s="165"/>
      <c r="P132" s="165"/>
      <c r="Q132" s="424">
        <f xml:space="preserve"> F_Inputs!K84</f>
        <v>0</v>
      </c>
      <c r="R132" s="424">
        <f xml:space="preserve"> F_Inputs!L84</f>
        <v>0</v>
      </c>
      <c r="S132" s="424">
        <f xml:space="preserve"> F_Inputs!M84</f>
        <v>0</v>
      </c>
      <c r="T132" s="165"/>
    </row>
    <row r="133" spans="1:20" s="192" customFormat="1" x14ac:dyDescent="0.35">
      <c r="A133" s="193" t="str">
        <f>F_Inputs!B85</f>
        <v>R4D04D03W</v>
      </c>
      <c r="B133" s="193"/>
      <c r="C133" s="193"/>
      <c r="D133" s="198"/>
      <c r="E133" s="193" t="s">
        <v>199</v>
      </c>
      <c r="F133" s="166"/>
      <c r="G133" s="193" t="s">
        <v>163</v>
      </c>
      <c r="H133" s="166"/>
      <c r="I133" s="193"/>
      <c r="J133" s="165"/>
      <c r="K133" s="165"/>
      <c r="L133" s="165"/>
      <c r="M133" s="165"/>
      <c r="N133" s="165"/>
      <c r="O133" s="165"/>
      <c r="P133" s="165"/>
      <c r="Q133" s="424">
        <f xml:space="preserve"> F_Inputs!K85</f>
        <v>0</v>
      </c>
      <c r="R133" s="424">
        <f xml:space="preserve"> F_Inputs!L85</f>
        <v>0</v>
      </c>
      <c r="S133" s="424">
        <f xml:space="preserve"> F_Inputs!M85</f>
        <v>0</v>
      </c>
      <c r="T133" s="165"/>
    </row>
    <row r="134" spans="1:20" s="192" customFormat="1" x14ac:dyDescent="0.35">
      <c r="A134" s="193" t="str">
        <f>F_Inputs!B86</f>
        <v>R4D05D03W</v>
      </c>
      <c r="B134" s="193"/>
      <c r="C134" s="193"/>
      <c r="D134" s="198"/>
      <c r="E134" s="193" t="s">
        <v>200</v>
      </c>
      <c r="F134" s="166"/>
      <c r="G134" s="193" t="s">
        <v>163</v>
      </c>
      <c r="H134" s="166"/>
      <c r="I134" s="193"/>
      <c r="J134" s="165"/>
      <c r="K134" s="165"/>
      <c r="L134" s="165"/>
      <c r="M134" s="165"/>
      <c r="N134" s="165"/>
      <c r="O134" s="165"/>
      <c r="P134" s="165"/>
      <c r="Q134" s="424">
        <f xml:space="preserve"> F_Inputs!K86</f>
        <v>0</v>
      </c>
      <c r="R134" s="424">
        <f xml:space="preserve"> F_Inputs!L86</f>
        <v>0</v>
      </c>
      <c r="S134" s="424">
        <f xml:space="preserve"> F_Inputs!M86</f>
        <v>0</v>
      </c>
      <c r="T134" s="165"/>
    </row>
    <row r="135" spans="1:20" s="192" customFormat="1" x14ac:dyDescent="0.35">
      <c r="A135" s="193" t="str">
        <f>F_Inputs!B87</f>
        <v>R4D06D03W</v>
      </c>
      <c r="B135" s="193"/>
      <c r="C135" s="193"/>
      <c r="D135" s="198"/>
      <c r="E135" s="193" t="s">
        <v>623</v>
      </c>
      <c r="F135" s="166"/>
      <c r="G135" s="193" t="s">
        <v>163</v>
      </c>
      <c r="H135" s="166"/>
      <c r="I135" s="193"/>
      <c r="J135" s="165"/>
      <c r="K135" s="165"/>
      <c r="L135" s="165"/>
      <c r="M135" s="165"/>
      <c r="N135" s="165"/>
      <c r="O135" s="165"/>
      <c r="P135" s="165"/>
      <c r="Q135" s="424">
        <f xml:space="preserve"> F_Inputs!K87</f>
        <v>0</v>
      </c>
      <c r="R135" s="424">
        <f xml:space="preserve"> F_Inputs!L87</f>
        <v>0</v>
      </c>
      <c r="S135" s="424">
        <f xml:space="preserve"> F_Inputs!M87</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F_Inputs!B88</f>
        <v>PR19FM2710</v>
      </c>
      <c r="D137" s="203"/>
      <c r="E137" s="92" t="s">
        <v>201</v>
      </c>
      <c r="F137" s="204"/>
      <c r="G137" s="204" t="s">
        <v>160</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35">
      <c r="A138" s="92" t="str">
        <f>F_Inputs!B89</f>
        <v>PR19FM2711</v>
      </c>
      <c r="D138" s="203"/>
      <c r="E138" s="92" t="s">
        <v>202</v>
      </c>
      <c r="F138" s="204"/>
      <c r="G138" s="204" t="s">
        <v>160</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35">
      <c r="A139" s="92" t="str">
        <f>F_Inputs!B90</f>
        <v>PR19FM2712</v>
      </c>
      <c r="D139" s="203"/>
      <c r="E139" s="92" t="s">
        <v>203</v>
      </c>
      <c r="F139" s="204"/>
      <c r="G139" s="204" t="s">
        <v>160</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35">
      <c r="A140" s="92" t="str">
        <f>F_Inputs!B91</f>
        <v>PR19FM2713</v>
      </c>
      <c r="D140" s="203"/>
      <c r="E140" s="92" t="s">
        <v>204</v>
      </c>
      <c r="F140" s="204"/>
      <c r="G140" s="204" t="s">
        <v>160</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35">
      <c r="A141" s="92" t="str">
        <f>F_Inputs!B92</f>
        <v>PR19FM2714</v>
      </c>
      <c r="D141" s="203"/>
      <c r="E141" s="92" t="s">
        <v>205</v>
      </c>
      <c r="F141" s="204"/>
      <c r="G141" s="204" t="s">
        <v>160</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35">
      <c r="A142" s="92" t="str">
        <f>F_Inputs!B93</f>
        <v>PR19FM2715</v>
      </c>
      <c r="D142" s="203"/>
      <c r="E142" s="92" t="s">
        <v>624</v>
      </c>
      <c r="F142" s="204"/>
      <c r="G142" s="204" t="s">
        <v>160</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80">
        <f>(F_Inputs!I94*((AVERAGE(F_Inputs!$I$50:$I$61)/AVERAGE(F_Inputs!$F$50:$F$61))))/((F_Inputs!$H$57/F_Inputs!$G$57))</f>
        <v>50.227723887126004</v>
      </c>
      <c r="O146" s="165"/>
      <c r="P146" s="165"/>
      <c r="Q146" s="165"/>
      <c r="R146" s="165"/>
      <c r="S146" s="165"/>
      <c r="T146" s="165"/>
    </row>
    <row r="147" spans="1:20" s="92" customFormat="1" x14ac:dyDescent="0.35">
      <c r="A147" s="92" t="str">
        <f>F_Inputs!B96</f>
        <v>C_PR19FM06012POST_PD020_OUT</v>
      </c>
      <c r="D147" s="203"/>
      <c r="E147" s="204" t="s">
        <v>207</v>
      </c>
      <c r="F147" s="204"/>
      <c r="G147" s="204" t="s">
        <v>163</v>
      </c>
      <c r="H147" s="204"/>
      <c r="J147" s="205"/>
      <c r="K147" s="205"/>
      <c r="L147" s="205"/>
      <c r="M147" s="205"/>
      <c r="N147" s="205"/>
      <c r="O147" s="201">
        <f xml:space="preserve"> F_Inputs!I96</f>
        <v>0</v>
      </c>
      <c r="P147" s="201">
        <f xml:space="preserve"> F_Inputs!J96</f>
        <v>4.6399999999999997</v>
      </c>
      <c r="Q147" s="201">
        <f xml:space="preserve"> F_Inputs!K96</f>
        <v>2.78</v>
      </c>
      <c r="R147" s="201">
        <f xml:space="preserve"> F_Inputs!L96</f>
        <v>-11.51</v>
      </c>
      <c r="S147" s="201">
        <f xml:space="preserve"> F_Inputs!M96</f>
        <v>-10.68</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M6" activePane="bottomRight" state="frozen"/>
      <selection pane="topRight"/>
      <selection pane="bottomLeft"/>
      <selection pane="bottomRight"/>
    </sheetView>
  </sheetViews>
  <sheetFormatPr defaultColWidth="0" defaultRowHeight="12.75" zeroHeight="1" x14ac:dyDescent="0.35"/>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InpCompany</v>
      </c>
      <c r="B1" s="160"/>
      <c r="C1" s="160"/>
      <c r="D1" s="160"/>
      <c r="E1" s="160"/>
      <c r="F1" s="160"/>
      <c r="G1" s="160"/>
      <c r="H1" s="445" t="str">
        <f>InpCompany!F9</f>
        <v>Thames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Thames Water</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TMS</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t="str">
        <f>F_Inputs!B137</f>
        <v>IPD04_CO_IN_41</v>
      </c>
      <c r="B21" s="193"/>
      <c r="C21" s="193"/>
      <c r="D21" s="193"/>
      <c r="E21" s="166" t="s">
        <v>120</v>
      </c>
      <c r="F21" s="277">
        <f xml:space="preserve"> INDEX(F_Inputs!$A$1:$N$179,MATCH(A21,F_Inputs!$B:$B,0),MATCH($F$12,F_Inputs!$A$6:$N$6,1))</f>
        <v>-1.7776799999999999E-2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F_Inputs!B138</f>
        <v>IPD04_CO_IN_42</v>
      </c>
      <c r="B22" s="193"/>
      <c r="C22" s="193"/>
      <c r="D22" s="193"/>
      <c r="E22" s="166" t="s">
        <v>121</v>
      </c>
      <c r="F22" s="277">
        <f xml:space="preserve"> INDEX(F_Inputs!$A$1:$N$179,MATCH(A22,F_Inputs!$B:$B,0),MATCH($F$12,F_Inputs!$A$6:$N$6,1))</f>
        <v>-11.7452800728694</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F_Inputs!B139</f>
        <v>IPD04_CO_IN_43</v>
      </c>
      <c r="B23" s="193"/>
      <c r="C23" s="193"/>
      <c r="D23" s="193"/>
      <c r="E23" s="166" t="s">
        <v>122</v>
      </c>
      <c r="F23" s="277">
        <f xml:space="preserve"> INDEX(F_Inputs!$A$1:$N$179,MATCH(A23,F_Inputs!$B:$B,0),MATCH($F$12,F_Inputs!$A$6:$N$6,1))</f>
        <v>-18.354731000000001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F_Inputs!B140</f>
        <v>IPD04_CO_IN_44</v>
      </c>
      <c r="B24" s="193"/>
      <c r="C24" s="193"/>
      <c r="D24" s="193"/>
      <c r="E24" s="166" t="s">
        <v>123</v>
      </c>
      <c r="F24" s="277">
        <f xml:space="preserve"> INDEX(F_Inputs!$A$1:$N$179,MATCH(A24,F_Inputs!$B:$B,0),MATCH($F$12,F_Inputs!$A$6:$N$6,1))</f>
        <v>-1.2331799999999999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F_Inputs!B141</f>
        <v>IPD04_CO_IN_45</v>
      </c>
      <c r="B25" s="193"/>
      <c r="C25" s="193"/>
      <c r="D25" s="193"/>
      <c r="E25" s="166" t="s">
        <v>124</v>
      </c>
      <c r="F25" s="277">
        <f xml:space="preserve"> INDEX(F_Inputs!$A$1:$N$179,MATCH(A25,F_Inputs!$B:$B,0),MATCH($F$12,F_Inputs!$A$6:$N$6,1))</f>
        <v>-0.51939999999999997</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F_Inputs!B142</f>
        <v>IPD04_CO_IN_46</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F_Inputs!B143</f>
        <v>IPD04_CO_IN_47</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F_Inputs!B144</f>
        <v>IPD04_CO_IN_51</v>
      </c>
      <c r="B30" s="193"/>
      <c r="C30" s="193"/>
      <c r="D30" s="193"/>
      <c r="E30" s="276" t="s">
        <v>128</v>
      </c>
      <c r="F30" s="277">
        <f xml:space="preserve"> INDEX(F_Inputs!$A$1:$N$179,MATCH(A30,F_Inputs!$B:$B,0),MATCH($F$12,F_Inputs!$A$6:$N$6,1))</f>
        <v>-15.7184829493088</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F_Inputs!B145</f>
        <v>IPD04_CO_IN_52</v>
      </c>
      <c r="B31" s="193"/>
      <c r="C31" s="193"/>
      <c r="D31" s="193"/>
      <c r="E31" s="193" t="s">
        <v>129</v>
      </c>
      <c r="F31" s="277">
        <f xml:space="preserve"> INDEX(F_Inputs!$A$1:$N$179,MATCH(A31,F_Inputs!$B:$B,0),MATCH($F$12,F_Inputs!$A$6:$N$6,1))</f>
        <v>-1.1446635944700501</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F_Inputs!B146</f>
        <v>IPD04_CO_IN_53</v>
      </c>
      <c r="B32" s="193"/>
      <c r="C32" s="193"/>
      <c r="D32" s="193"/>
      <c r="E32" s="193" t="s">
        <v>130</v>
      </c>
      <c r="F32" s="277">
        <f xml:space="preserve"> INDEX(F_Inputs!$A$1:$N$179,MATCH(A32,F_Inputs!$B:$B,0),MATCH($F$12,F_Inputs!$A$6:$N$6,1))</f>
        <v>-0.591096774193548</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F_Inputs!B109</f>
        <v>IPD04_CO_IN_01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F_Inputs!B110</f>
        <v>IPD04_CO_IN_02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F_Inputs!B111</f>
        <v>IPD04_CO_IN_03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F_Inputs!B112</f>
        <v>IPD04_CO_IN_04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F_Inputs!B113</f>
        <v>IPD04_CO_IN_05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F_Inputs!B114</f>
        <v>IPD04_CO_IN_06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F_Inputs!B115</f>
        <v>IPD04_CO_IN_07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F_Inputs!B116</f>
        <v>IPD04_CO_IN_11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F_Inputs!B117</f>
        <v>IPD04_CO_IN_12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F_Inputs!B118</f>
        <v>IPD04_CO_IN_13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F_Inputs!B119</f>
        <v>IPD04_CO_IN_14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F_Inputs!B120</f>
        <v>IPD04_CO_IN_15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F_Inputs!B121</f>
        <v>IPD04_CO_IN_16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F_Inputs!B122</f>
        <v>IPD04_CO_IN_17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F_Inputs!B123</f>
        <v>IPD04_CO_IN_21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F_Inputs!B124</f>
        <v>IPD04_CO_IN_22</v>
      </c>
      <c r="B57" s="193"/>
      <c r="C57" s="193"/>
      <c r="D57" s="193"/>
      <c r="E57" s="193" t="s">
        <v>151</v>
      </c>
      <c r="F57" s="277">
        <f xml:space="preserve"> INDEX(F_Inputs!$A$1:$N$179,MATCH(A57,F_Inputs!$B:$B,0),MATCH($F$12,F_Inputs!$A$6:$N$6,1))</f>
        <v>-2.6448</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F_Inputs!B125</f>
        <v>IPD04_CO_IN_23</v>
      </c>
      <c r="B58" s="193"/>
      <c r="C58" s="193"/>
      <c r="D58" s="193"/>
      <c r="E58" s="193" t="s">
        <v>152</v>
      </c>
      <c r="F58" s="277">
        <f xml:space="preserve"> INDEX(F_Inputs!$A$1:$N$179,MATCH(A58,F_Inputs!$B:$B,0),MATCH($F$12,F_Inputs!$A$6:$N$6,1))</f>
        <v>-0.13702</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F_Inputs!B126</f>
        <v>IPD04_CO_IN_24</v>
      </c>
      <c r="B59" s="193"/>
      <c r="C59" s="193"/>
      <c r="D59" s="193"/>
      <c r="E59" s="193" t="s">
        <v>153</v>
      </c>
      <c r="F59" s="277">
        <f xml:space="preserve"> INDEX(F_Inputs!$A$1:$N$179,MATCH(A59,F_Inputs!$B:$B,0),MATCH($F$12,F_Inputs!$A$6:$N$6,1))</f>
        <v>-1.2331799999999999</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F_Inputs!B127</f>
        <v>IPD04_CO_IN_25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F_Inputs!B128</f>
        <v>IPD04_CO_IN_26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F_Inputs!B129</f>
        <v>IPD04_CO_IN_27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F_Inputs!B130</f>
        <v>IPD04_CO_IN_31</v>
      </c>
      <c r="B67" s="193"/>
      <c r="C67" s="193"/>
      <c r="D67" s="193"/>
      <c r="E67" s="193" t="s">
        <v>675</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t="str">
        <f>F_Inputs!B131</f>
        <v>IPD04_CO_IN_32</v>
      </c>
      <c r="B68" s="193"/>
      <c r="C68" s="193"/>
      <c r="D68" s="193"/>
      <c r="E68" s="193" t="s">
        <v>676</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t="str">
        <f>F_Inputs!B132</f>
        <v>IPD04_CO_IN_33</v>
      </c>
      <c r="B69" s="193"/>
      <c r="C69" s="193"/>
      <c r="D69" s="193"/>
      <c r="E69" s="193" t="s">
        <v>677</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t="str">
        <f>F_Inputs!B133</f>
        <v>IPD04_CO_IN_34</v>
      </c>
      <c r="B70" s="193"/>
      <c r="C70" s="193"/>
      <c r="D70" s="193"/>
      <c r="E70" s="193" t="s">
        <v>678</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t="str">
        <f>F_Inputs!B134</f>
        <v>IPD04_CO_IN_35</v>
      </c>
      <c r="B71" s="193"/>
      <c r="C71" s="193"/>
      <c r="D71" s="193"/>
      <c r="E71" s="193" t="s">
        <v>679</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t="str">
        <f>F_Inputs!B135</f>
        <v>IPD04_CO_IN_36</v>
      </c>
      <c r="B72" s="193"/>
      <c r="C72" s="193"/>
      <c r="D72" s="193"/>
      <c r="E72" s="193" t="s">
        <v>680</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t="str">
        <f>F_Inputs!B136</f>
        <v>IPD04_CO_IN_37</v>
      </c>
      <c r="B73" s="193"/>
      <c r="C73" s="193"/>
      <c r="D73" s="193"/>
      <c r="E73" s="193" t="s">
        <v>681</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F_Inputs!B147</f>
        <v>IPD04_CO_IN_61</v>
      </c>
      <c r="B79" s="193"/>
      <c r="C79" s="193"/>
      <c r="D79" s="193"/>
      <c r="E79" s="193" t="s">
        <v>159</v>
      </c>
      <c r="F79" s="286">
        <f xml:space="preserve"> INDEX(F_Inputs!$A$1:$N$179,MATCH(A79,F_Inputs!$B:$B,0),MATCH($F$12,F_Inputs!$A$6:$N$6,1))</f>
        <v>2.92E-2</v>
      </c>
      <c r="G79" s="193" t="s">
        <v>160</v>
      </c>
      <c r="H79" s="193"/>
      <c r="I79" s="193"/>
      <c r="J79" s="193"/>
      <c r="K79" s="193"/>
      <c r="L79" s="193"/>
      <c r="M79" s="193"/>
      <c r="N79" s="193"/>
      <c r="O79" s="193"/>
      <c r="P79" s="193"/>
      <c r="Q79" s="193"/>
      <c r="R79" s="193"/>
      <c r="S79" s="193"/>
      <c r="T79" s="193"/>
    </row>
    <row r="80" spans="1:20" s="192" customFormat="1" x14ac:dyDescent="0.35">
      <c r="A80" s="193" t="str">
        <f>F_Inputs!B148</f>
        <v>IPD04_CO_IN_62</v>
      </c>
      <c r="B80" s="193"/>
      <c r="C80" s="193"/>
      <c r="D80" s="193"/>
      <c r="E80" s="193" t="s">
        <v>161</v>
      </c>
      <c r="F80" s="286">
        <f xml:space="preserve"> INDEX(F_Inputs!$A$1:$N$179,MATCH(A80,F_Inputs!$B:$B,0),MATCH($F$12,F_Inputs!$A$6:$N$6,1))</f>
        <v>2.9600000000000001E-2</v>
      </c>
      <c r="G80" s="193" t="s">
        <v>160</v>
      </c>
      <c r="H80" s="193"/>
      <c r="I80" s="193"/>
      <c r="J80" s="193"/>
      <c r="K80" s="193"/>
      <c r="L80" s="193"/>
      <c r="M80" s="193"/>
      <c r="N80" s="193"/>
      <c r="O80" s="193"/>
      <c r="P80" s="193"/>
      <c r="Q80" s="193"/>
      <c r="R80" s="193"/>
      <c r="S80" s="193"/>
      <c r="T80" s="193"/>
    </row>
    <row r="81" spans="1:20" s="192" customFormat="1" x14ac:dyDescent="0.35">
      <c r="A81" s="193" t="str">
        <f>F_Inputs!B149</f>
        <v>IPD04_CO_IN_63</v>
      </c>
      <c r="B81" s="193"/>
      <c r="C81" s="193"/>
      <c r="D81" s="193"/>
      <c r="E81" s="193" t="s">
        <v>162</v>
      </c>
      <c r="F81" s="287">
        <f xml:space="preserve"> INDEX(F_Inputs!$A$1:$N$179,MATCH(A81,F_Inputs!$B:$B,0),MATCH($F$12,F_Inputs!$A$6:$N$6,1))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F_Inputs!B150</f>
        <v>IPD04_CO_IN_64</v>
      </c>
      <c r="B83" s="193"/>
      <c r="C83" s="193"/>
      <c r="D83" s="193"/>
      <c r="E83" s="279" t="s">
        <v>164</v>
      </c>
      <c r="F83" s="204"/>
      <c r="G83" s="204" t="s">
        <v>160</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F_Inputs!B151</f>
        <v>IPD04_CO_IN_65</v>
      </c>
      <c r="B85" s="193"/>
      <c r="C85" s="193"/>
      <c r="D85" s="193"/>
      <c r="E85" s="166" t="s">
        <v>165</v>
      </c>
      <c r="F85" s="166"/>
      <c r="G85" s="166" t="s">
        <v>87</v>
      </c>
      <c r="H85" s="166"/>
      <c r="I85" s="193"/>
      <c r="J85" s="293">
        <v>100.3</v>
      </c>
      <c r="K85" s="293">
        <v>101.8</v>
      </c>
      <c r="L85" s="293">
        <f>F_Inputs!F151</f>
        <v>101.8</v>
      </c>
      <c r="M85" s="293">
        <f>F_Inputs!G151</f>
        <v>104.7</v>
      </c>
      <c r="N85" s="293">
        <f>F_Inputs!H151</f>
        <v>106.9</v>
      </c>
      <c r="O85" s="444">
        <f>F_Inputs!I151</f>
        <v>108.5</v>
      </c>
      <c r="P85" s="364">
        <f>F_Inputs!J151</f>
        <v>109.1</v>
      </c>
      <c r="Q85" s="364">
        <f>F_Inputs!K151</f>
        <v>111.9366</v>
      </c>
      <c r="R85" s="364">
        <f>F_Inputs!L151</f>
        <v>113.87647073333299</v>
      </c>
      <c r="S85" s="364">
        <f>F_Inputs!M151</f>
        <v>116.267876618733</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88">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88">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88">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88">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88">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88">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88">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88">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88">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88">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88">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88">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t="str">
        <f>F_Inputs!B152</f>
        <v>IPD04_CO_IN_66</v>
      </c>
      <c r="B105" s="193"/>
      <c r="C105" s="193"/>
      <c r="D105" s="198"/>
      <c r="E105" s="193" t="s">
        <v>181</v>
      </c>
      <c r="F105" s="193"/>
      <c r="G105" s="193" t="s">
        <v>182</v>
      </c>
      <c r="H105" s="193"/>
      <c r="I105" s="193"/>
      <c r="J105" s="165"/>
      <c r="K105" s="165"/>
      <c r="L105" s="165"/>
      <c r="M105" s="165"/>
      <c r="N105" s="280">
        <f>F_Inputs!H152</f>
        <v>89.768007721145906</v>
      </c>
      <c r="O105" s="165"/>
      <c r="P105" s="165"/>
      <c r="Q105" s="165"/>
      <c r="R105" s="165"/>
      <c r="S105" s="165"/>
      <c r="T105" s="165"/>
    </row>
    <row r="106" spans="1:20" s="92" customFormat="1" x14ac:dyDescent="0.35">
      <c r="A106" s="193" t="str">
        <f>F_Inputs!B153</f>
        <v>IPD04_CO_IN_67</v>
      </c>
      <c r="D106" s="203"/>
      <c r="E106" s="204" t="s">
        <v>183</v>
      </c>
      <c r="F106" s="204"/>
      <c r="G106" s="204" t="s">
        <v>163</v>
      </c>
      <c r="H106" s="204"/>
      <c r="J106" s="205"/>
      <c r="K106" s="205"/>
      <c r="L106" s="205"/>
      <c r="M106" s="205"/>
      <c r="N106" s="205"/>
      <c r="O106" s="201">
        <f>F_Inputs!I153</f>
        <v>0</v>
      </c>
      <c r="P106" s="201">
        <f>F_Inputs!J153</f>
        <v>3.9</v>
      </c>
      <c r="Q106" s="201">
        <f>F_Inputs!K153</f>
        <v>-1</v>
      </c>
      <c r="R106" s="201">
        <f>F_Inputs!L153</f>
        <v>0.67</v>
      </c>
      <c r="S106" s="201">
        <f>F_Inputs!M153</f>
        <v>3.51</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t="str">
        <f>F_Inputs!B154</f>
        <v>IPD04_CO_IN_68</v>
      </c>
      <c r="B109" s="193"/>
      <c r="C109" s="193"/>
      <c r="D109" s="198"/>
      <c r="E109" s="193" t="s">
        <v>184</v>
      </c>
      <c r="F109" s="193"/>
      <c r="G109" s="193" t="s">
        <v>182</v>
      </c>
      <c r="H109" s="193"/>
      <c r="I109" s="193"/>
      <c r="J109" s="165"/>
      <c r="K109" s="165"/>
      <c r="L109" s="165"/>
      <c r="M109" s="165"/>
      <c r="N109" s="280">
        <f>F_Inputs!H154</f>
        <v>820.81826854005897</v>
      </c>
      <c r="O109" s="255"/>
      <c r="P109" s="255"/>
      <c r="Q109" s="255"/>
      <c r="R109" s="255"/>
      <c r="S109" s="255"/>
      <c r="T109" s="165"/>
    </row>
    <row r="110" spans="1:20" s="92" customFormat="1" x14ac:dyDescent="0.35">
      <c r="A110" s="193" t="str">
        <f>F_Inputs!B155</f>
        <v>IPD04_CO_IN_69</v>
      </c>
      <c r="D110" s="203"/>
      <c r="E110" s="204" t="s">
        <v>185</v>
      </c>
      <c r="F110" s="204"/>
      <c r="G110" s="204" t="s">
        <v>163</v>
      </c>
      <c r="H110" s="204"/>
      <c r="J110" s="205"/>
      <c r="K110" s="205"/>
      <c r="L110" s="205"/>
      <c r="M110" s="205"/>
      <c r="N110" s="205"/>
      <c r="O110" s="201">
        <f>F_Inputs!I155</f>
        <v>0</v>
      </c>
      <c r="P110" s="201">
        <f>F_Inputs!J155</f>
        <v>7.44</v>
      </c>
      <c r="Q110" s="201">
        <f>F_Inputs!K155</f>
        <v>0.04</v>
      </c>
      <c r="R110" s="201">
        <f>F_Inputs!L155</f>
        <v>1.3</v>
      </c>
      <c r="S110" s="201">
        <f>F_Inputs!M155</f>
        <v>0.22</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t="str">
        <f>F_Inputs!B156</f>
        <v>IPD04_CO_IN_70</v>
      </c>
      <c r="B113" s="193"/>
      <c r="C113" s="193"/>
      <c r="D113" s="198"/>
      <c r="E113" s="193" t="s">
        <v>186</v>
      </c>
      <c r="F113" s="193"/>
      <c r="G113" s="193" t="s">
        <v>182</v>
      </c>
      <c r="H113" s="193"/>
      <c r="I113" s="193"/>
      <c r="J113" s="165"/>
      <c r="K113" s="165"/>
      <c r="L113" s="165"/>
      <c r="M113" s="165"/>
      <c r="N113" s="280">
        <f>F_Inputs!H156</f>
        <v>846.00854667717704</v>
      </c>
      <c r="O113" s="255"/>
      <c r="P113" s="255"/>
      <c r="Q113" s="255"/>
      <c r="R113" s="255"/>
      <c r="S113" s="255"/>
      <c r="T113" s="165"/>
    </row>
    <row r="114" spans="1:20" s="92" customFormat="1" x14ac:dyDescent="0.35">
      <c r="A114" s="193" t="str">
        <f>F_Inputs!B157</f>
        <v>IPD04_CO_IN_71</v>
      </c>
      <c r="D114" s="203"/>
      <c r="E114" s="204" t="s">
        <v>187</v>
      </c>
      <c r="F114" s="204"/>
      <c r="G114" s="204" t="s">
        <v>163</v>
      </c>
      <c r="H114" s="204"/>
      <c r="J114" s="205"/>
      <c r="K114" s="205"/>
      <c r="L114" s="205"/>
      <c r="M114" s="205"/>
      <c r="N114" s="205"/>
      <c r="O114" s="201">
        <f>F_Inputs!I157</f>
        <v>0</v>
      </c>
      <c r="P114" s="201">
        <f>F_Inputs!J157</f>
        <v>-0.81</v>
      </c>
      <c r="Q114" s="201">
        <f>F_Inputs!K157</f>
        <v>-1.59</v>
      </c>
      <c r="R114" s="201">
        <f>F_Inputs!L157</f>
        <v>-0.4</v>
      </c>
      <c r="S114" s="201">
        <f>F_Inputs!M157</f>
        <v>-0.16</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t="str">
        <f>F_Inputs!B158</f>
        <v>IPD04_CO_IN_72</v>
      </c>
      <c r="B117" s="193"/>
      <c r="C117" s="193"/>
      <c r="D117" s="198"/>
      <c r="E117" s="166" t="s">
        <v>188</v>
      </c>
      <c r="F117" s="166"/>
      <c r="G117" s="166" t="str">
        <f>F15</f>
        <v>£m (2017-18 FYA CPIH prices)</v>
      </c>
      <c r="H117" s="166"/>
      <c r="I117" s="193"/>
      <c r="J117" s="165"/>
      <c r="K117" s="165"/>
      <c r="L117" s="165"/>
      <c r="M117" s="165"/>
      <c r="N117" s="165"/>
      <c r="O117" s="255"/>
      <c r="P117" s="280">
        <f>F_Inputs!J158</f>
        <v>160.76704184397599</v>
      </c>
      <c r="Q117" s="280">
        <f>F_Inputs!K158</f>
        <v>161.62094887885601</v>
      </c>
      <c r="R117" s="280">
        <f>F_Inputs!L158</f>
        <v>162.47886486695199</v>
      </c>
      <c r="S117" s="280">
        <f>F_Inputs!M158</f>
        <v>163.33277190183199</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F_Inputs!B159</f>
        <v>IPD04_CO_IN_73</v>
      </c>
      <c r="B120" s="193"/>
      <c r="C120" s="193"/>
      <c r="D120" s="198"/>
      <c r="E120" s="166" t="s">
        <v>189</v>
      </c>
      <c r="F120" s="166"/>
      <c r="G120" s="166" t="s">
        <v>182</v>
      </c>
      <c r="H120" s="166"/>
      <c r="I120" s="193"/>
      <c r="J120" s="165"/>
      <c r="K120" s="165"/>
      <c r="L120" s="165"/>
      <c r="M120" s="165"/>
      <c r="N120" s="165"/>
      <c r="O120" s="255"/>
      <c r="P120" s="280">
        <f>F_Inputs!J159</f>
        <v>143.17699999999999</v>
      </c>
      <c r="Q120" s="280">
        <f>F_Inputs!K159</f>
        <v>146.137</v>
      </c>
      <c r="R120" s="280">
        <f>F_Inputs!L159</f>
        <v>148.46799999999999</v>
      </c>
      <c r="S120" s="280">
        <f>F_Inputs!M159</f>
        <v>150.721</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F_Inputs!B160</f>
        <v>IPD04_CO_IN_74</v>
      </c>
      <c r="B123" s="193"/>
      <c r="C123" s="193"/>
      <c r="D123" s="198"/>
      <c r="E123" s="193" t="s">
        <v>190</v>
      </c>
      <c r="F123" s="193"/>
      <c r="G123" s="193" t="s">
        <v>191</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35">
      <c r="A124" s="193" t="str">
        <f>F_Inputs!B161</f>
        <v>IPD04_CO_IN_75</v>
      </c>
      <c r="B124" s="193"/>
      <c r="C124" s="193"/>
      <c r="D124" s="198"/>
      <c r="E124" s="193" t="s">
        <v>192</v>
      </c>
      <c r="F124" s="166"/>
      <c r="G124" s="193" t="s">
        <v>191</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35">
      <c r="A125" s="193" t="str">
        <f>F_Inputs!B162</f>
        <v>IPD04_CO_IN_76</v>
      </c>
      <c r="B125" s="193"/>
      <c r="C125" s="193"/>
      <c r="D125" s="198"/>
      <c r="E125" s="193" t="s">
        <v>193</v>
      </c>
      <c r="F125" s="166"/>
      <c r="G125" s="193" t="s">
        <v>191</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35">
      <c r="A126" s="193" t="str">
        <f>F_Inputs!B163</f>
        <v>IPD04_CO_IN_77</v>
      </c>
      <c r="B126" s="193"/>
      <c r="C126" s="193"/>
      <c r="D126" s="198"/>
      <c r="E126" s="193" t="s">
        <v>194</v>
      </c>
      <c r="F126" s="166"/>
      <c r="G126" s="193" t="s">
        <v>191</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35">
      <c r="A127" s="193" t="str">
        <f>F_Inputs!B164</f>
        <v>IPD04_CO_IN_78</v>
      </c>
      <c r="B127" s="193"/>
      <c r="C127" s="193"/>
      <c r="D127" s="198"/>
      <c r="E127" s="193" t="s">
        <v>195</v>
      </c>
      <c r="F127" s="166"/>
      <c r="G127" s="193" t="s">
        <v>191</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35">
      <c r="A128" s="193" t="str">
        <f>F_Inputs!B165</f>
        <v>IPD04_CO_IN_79</v>
      </c>
      <c r="B128" s="193"/>
      <c r="C128" s="193"/>
      <c r="D128" s="198"/>
      <c r="E128" s="193" t="s">
        <v>622</v>
      </c>
      <c r="F128" s="166"/>
      <c r="G128" s="193" t="s">
        <v>191</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F_Inputs!B166</f>
        <v>IPD04_CO_IN_80</v>
      </c>
      <c r="B130" s="193"/>
      <c r="C130" s="193"/>
      <c r="D130" s="198"/>
      <c r="E130" s="193" t="s">
        <v>196</v>
      </c>
      <c r="F130" s="166"/>
      <c r="G130" s="193" t="s">
        <v>163</v>
      </c>
      <c r="H130" s="166"/>
      <c r="I130" s="193"/>
      <c r="J130" s="165"/>
      <c r="K130" s="165"/>
      <c r="L130" s="165"/>
      <c r="M130" s="165"/>
      <c r="N130" s="165"/>
      <c r="O130" s="165"/>
      <c r="P130" s="165"/>
      <c r="Q130" s="424">
        <f>F_Inputs!K166</f>
        <v>0</v>
      </c>
      <c r="R130" s="424">
        <f>F_Inputs!L166</f>
        <v>0</v>
      </c>
      <c r="S130" s="424">
        <f>F_Inputs!M166</f>
        <v>0</v>
      </c>
      <c r="T130" s="165"/>
    </row>
    <row r="131" spans="1:20" s="192" customFormat="1" x14ac:dyDescent="0.35">
      <c r="A131" s="193" t="str">
        <f>F_Inputs!B167</f>
        <v>IPD04_CO_IN_81</v>
      </c>
      <c r="B131" s="193"/>
      <c r="C131" s="193"/>
      <c r="D131" s="198"/>
      <c r="E131" s="193" t="s">
        <v>197</v>
      </c>
      <c r="F131" s="166"/>
      <c r="G131" s="193" t="s">
        <v>163</v>
      </c>
      <c r="H131" s="166"/>
      <c r="I131" s="193"/>
      <c r="J131" s="165"/>
      <c r="K131" s="165"/>
      <c r="L131" s="165"/>
      <c r="M131" s="165"/>
      <c r="N131" s="165"/>
      <c r="O131" s="165"/>
      <c r="P131" s="165"/>
      <c r="Q131" s="424">
        <f>F_Inputs!K167</f>
        <v>0</v>
      </c>
      <c r="R131" s="424">
        <f>F_Inputs!L167</f>
        <v>0</v>
      </c>
      <c r="S131" s="424">
        <f>F_Inputs!M167</f>
        <v>0</v>
      </c>
      <c r="T131" s="165"/>
    </row>
    <row r="132" spans="1:20" s="192" customFormat="1" x14ac:dyDescent="0.35">
      <c r="A132" s="193" t="str">
        <f>F_Inputs!B168</f>
        <v>IPD04_CO_IN_82</v>
      </c>
      <c r="B132" s="193"/>
      <c r="C132" s="193"/>
      <c r="D132" s="198"/>
      <c r="E132" s="193" t="s">
        <v>198</v>
      </c>
      <c r="F132" s="166"/>
      <c r="G132" s="193" t="s">
        <v>163</v>
      </c>
      <c r="H132" s="166"/>
      <c r="I132" s="193"/>
      <c r="J132" s="165"/>
      <c r="K132" s="165"/>
      <c r="L132" s="165"/>
      <c r="M132" s="165"/>
      <c r="N132" s="165"/>
      <c r="O132" s="165"/>
      <c r="P132" s="165"/>
      <c r="Q132" s="424">
        <f>F_Inputs!K168</f>
        <v>0</v>
      </c>
      <c r="R132" s="424">
        <f>F_Inputs!L168</f>
        <v>0</v>
      </c>
      <c r="S132" s="424">
        <f>F_Inputs!M168</f>
        <v>0</v>
      </c>
      <c r="T132" s="165"/>
    </row>
    <row r="133" spans="1:20" s="192" customFormat="1" x14ac:dyDescent="0.35">
      <c r="A133" s="193" t="str">
        <f>F_Inputs!B169</f>
        <v>IPD04_CO_IN_83</v>
      </c>
      <c r="B133" s="193"/>
      <c r="C133" s="193"/>
      <c r="D133" s="198"/>
      <c r="E133" s="193" t="s">
        <v>199</v>
      </c>
      <c r="F133" s="166"/>
      <c r="G133" s="193" t="s">
        <v>163</v>
      </c>
      <c r="H133" s="166"/>
      <c r="I133" s="193"/>
      <c r="J133" s="165"/>
      <c r="K133" s="165"/>
      <c r="L133" s="165"/>
      <c r="M133" s="165"/>
      <c r="N133" s="165"/>
      <c r="O133" s="165"/>
      <c r="P133" s="165"/>
      <c r="Q133" s="424">
        <f>F_Inputs!K169</f>
        <v>0</v>
      </c>
      <c r="R133" s="424">
        <f>F_Inputs!L169</f>
        <v>0</v>
      </c>
      <c r="S133" s="424">
        <f>F_Inputs!M169</f>
        <v>0</v>
      </c>
      <c r="T133" s="165"/>
    </row>
    <row r="134" spans="1:20" s="192" customFormat="1" x14ac:dyDescent="0.35">
      <c r="A134" s="193" t="str">
        <f>F_Inputs!B170</f>
        <v>IPD04_CO_IN_84</v>
      </c>
      <c r="B134" s="193"/>
      <c r="C134" s="193"/>
      <c r="D134" s="198"/>
      <c r="E134" s="193" t="s">
        <v>200</v>
      </c>
      <c r="F134" s="166"/>
      <c r="G134" s="193" t="s">
        <v>163</v>
      </c>
      <c r="H134" s="166"/>
      <c r="I134" s="193"/>
      <c r="J134" s="165"/>
      <c r="K134" s="165"/>
      <c r="L134" s="165"/>
      <c r="M134" s="165"/>
      <c r="N134" s="165"/>
      <c r="O134" s="165"/>
      <c r="P134" s="165"/>
      <c r="Q134" s="424">
        <f>F_Inputs!K170</f>
        <v>0</v>
      </c>
      <c r="R134" s="424">
        <f>F_Inputs!L170</f>
        <v>0</v>
      </c>
      <c r="S134" s="424">
        <f>F_Inputs!M170</f>
        <v>0</v>
      </c>
      <c r="T134" s="165"/>
    </row>
    <row r="135" spans="1:20" s="192" customFormat="1" x14ac:dyDescent="0.35">
      <c r="A135" s="193" t="str">
        <f>F_Inputs!B171</f>
        <v>IPD04_CO_IN_85</v>
      </c>
      <c r="B135" s="193"/>
      <c r="C135" s="193"/>
      <c r="D135" s="198"/>
      <c r="E135" s="193" t="s">
        <v>623</v>
      </c>
      <c r="F135" s="166"/>
      <c r="G135" s="193" t="s">
        <v>163</v>
      </c>
      <c r="H135" s="166"/>
      <c r="I135" s="193"/>
      <c r="J135" s="165"/>
      <c r="K135" s="165"/>
      <c r="L135" s="165"/>
      <c r="M135" s="165"/>
      <c r="N135" s="165"/>
      <c r="O135" s="165"/>
      <c r="P135" s="165"/>
      <c r="Q135" s="424">
        <f>F_Inputs!K171</f>
        <v>0</v>
      </c>
      <c r="R135" s="424">
        <f>F_Inputs!L171</f>
        <v>0</v>
      </c>
      <c r="S135" s="424">
        <f>F_Inputs!M171</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F_Inputs!B172</f>
        <v>IPD04_CO_IN_86</v>
      </c>
      <c r="D137" s="203"/>
      <c r="E137" s="92" t="s">
        <v>201</v>
      </c>
      <c r="F137" s="204"/>
      <c r="G137" s="204" t="s">
        <v>160</v>
      </c>
      <c r="H137" s="204"/>
      <c r="J137" s="205"/>
      <c r="K137" s="205"/>
      <c r="L137" s="205"/>
      <c r="M137" s="205"/>
      <c r="N137" s="205"/>
      <c r="O137" s="205"/>
      <c r="P137" s="205"/>
      <c r="Q137" s="79">
        <f>F_Inputs!K172</f>
        <v>0</v>
      </c>
      <c r="R137" s="79">
        <f>F_Inputs!L172</f>
        <v>0</v>
      </c>
      <c r="S137" s="79">
        <f>F_Inputs!M172</f>
        <v>0</v>
      </c>
      <c r="T137" s="205"/>
    </row>
    <row r="138" spans="1:20" s="92" customFormat="1" x14ac:dyDescent="0.35">
      <c r="A138" s="92" t="str">
        <f>F_Inputs!B173</f>
        <v>IPD04_CO_IN_87</v>
      </c>
      <c r="D138" s="203"/>
      <c r="E138" s="92" t="s">
        <v>202</v>
      </c>
      <c r="F138" s="204"/>
      <c r="G138" s="204" t="s">
        <v>160</v>
      </c>
      <c r="H138" s="204"/>
      <c r="J138" s="205"/>
      <c r="K138" s="205"/>
      <c r="L138" s="205"/>
      <c r="M138" s="205"/>
      <c r="N138" s="205"/>
      <c r="O138" s="205"/>
      <c r="P138" s="205"/>
      <c r="Q138" s="79">
        <f>F_Inputs!K173</f>
        <v>0</v>
      </c>
      <c r="R138" s="79">
        <f>F_Inputs!L173</f>
        <v>0</v>
      </c>
      <c r="S138" s="79">
        <f>F_Inputs!M173</f>
        <v>0</v>
      </c>
      <c r="T138" s="205"/>
    </row>
    <row r="139" spans="1:20" s="92" customFormat="1" x14ac:dyDescent="0.35">
      <c r="A139" s="92" t="str">
        <f>F_Inputs!B174</f>
        <v>IPD04_CO_IN_88</v>
      </c>
      <c r="D139" s="203"/>
      <c r="E139" s="92" t="s">
        <v>203</v>
      </c>
      <c r="F139" s="204"/>
      <c r="G139" s="204" t="s">
        <v>160</v>
      </c>
      <c r="H139" s="204"/>
      <c r="J139" s="205"/>
      <c r="K139" s="205"/>
      <c r="L139" s="205"/>
      <c r="M139" s="205"/>
      <c r="N139" s="205"/>
      <c r="O139" s="205"/>
      <c r="P139" s="205"/>
      <c r="Q139" s="79">
        <f>F_Inputs!K174</f>
        <v>0</v>
      </c>
      <c r="R139" s="79">
        <f>F_Inputs!L174</f>
        <v>0</v>
      </c>
      <c r="S139" s="79">
        <f>F_Inputs!M174</f>
        <v>0</v>
      </c>
      <c r="T139" s="205"/>
    </row>
    <row r="140" spans="1:20" s="92" customFormat="1" x14ac:dyDescent="0.35">
      <c r="A140" s="92" t="str">
        <f>F_Inputs!B175</f>
        <v>IPD04_CO_IN_89</v>
      </c>
      <c r="D140" s="203"/>
      <c r="E140" s="92" t="s">
        <v>204</v>
      </c>
      <c r="F140" s="204"/>
      <c r="G140" s="204" t="s">
        <v>160</v>
      </c>
      <c r="H140" s="204"/>
      <c r="J140" s="205"/>
      <c r="K140" s="205"/>
      <c r="L140" s="205"/>
      <c r="M140" s="205"/>
      <c r="N140" s="205"/>
      <c r="O140" s="205"/>
      <c r="P140" s="205"/>
      <c r="Q140" s="79">
        <f>F_Inputs!K175</f>
        <v>0</v>
      </c>
      <c r="R140" s="79">
        <f>F_Inputs!L175</f>
        <v>0</v>
      </c>
      <c r="S140" s="79">
        <f>F_Inputs!M175</f>
        <v>0</v>
      </c>
      <c r="T140" s="205"/>
    </row>
    <row r="141" spans="1:20" s="92" customFormat="1" x14ac:dyDescent="0.35">
      <c r="A141" s="92" t="str">
        <f>F_Inputs!B176</f>
        <v>IPD04_CO_IN_90</v>
      </c>
      <c r="D141" s="203"/>
      <c r="E141" s="92" t="s">
        <v>205</v>
      </c>
      <c r="F141" s="204"/>
      <c r="G141" s="204" t="s">
        <v>160</v>
      </c>
      <c r="H141" s="204"/>
      <c r="J141" s="205"/>
      <c r="K141" s="205"/>
      <c r="L141" s="205"/>
      <c r="M141" s="205"/>
      <c r="N141" s="205"/>
      <c r="O141" s="205"/>
      <c r="P141" s="205"/>
      <c r="Q141" s="79">
        <f>F_Inputs!K176</f>
        <v>0</v>
      </c>
      <c r="R141" s="79">
        <f>F_Inputs!L176</f>
        <v>0</v>
      </c>
      <c r="S141" s="79">
        <f>F_Inputs!M176</f>
        <v>0</v>
      </c>
      <c r="T141" s="205"/>
    </row>
    <row r="142" spans="1:20" s="92" customFormat="1" x14ac:dyDescent="0.35">
      <c r="A142" s="92" t="str">
        <f>F_Inputs!B177</f>
        <v>IPD04_CO_IN_91</v>
      </c>
      <c r="D142" s="203"/>
      <c r="E142" s="92" t="s">
        <v>624</v>
      </c>
      <c r="F142" s="204"/>
      <c r="G142" s="204" t="s">
        <v>160</v>
      </c>
      <c r="H142" s="204"/>
      <c r="J142" s="205"/>
      <c r="K142" s="205"/>
      <c r="L142" s="205"/>
      <c r="M142" s="205"/>
      <c r="N142" s="205"/>
      <c r="O142" s="205"/>
      <c r="P142" s="205"/>
      <c r="Q142" s="79">
        <f>F_Inputs!K177</f>
        <v>0</v>
      </c>
      <c r="R142" s="79">
        <f>F_Inputs!L177</f>
        <v>0</v>
      </c>
      <c r="S142" s="79">
        <f>F_Inputs!M177</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t="str">
        <f>F_Inputs!B178</f>
        <v>IPD04_CO_IN_92</v>
      </c>
      <c r="B146" s="193"/>
      <c r="C146" s="193"/>
      <c r="D146" s="198"/>
      <c r="E146" s="193" t="s">
        <v>206</v>
      </c>
      <c r="F146" s="193"/>
      <c r="G146" s="193" t="s">
        <v>182</v>
      </c>
      <c r="H146" s="193"/>
      <c r="I146" s="193"/>
      <c r="J146" s="165"/>
      <c r="K146" s="165"/>
      <c r="L146" s="165"/>
      <c r="M146" s="165"/>
      <c r="N146" s="280">
        <f>F_Inputs!H178</f>
        <v>62.310189119974403</v>
      </c>
      <c r="O146" s="165"/>
      <c r="P146" s="165"/>
      <c r="Q146" s="165"/>
      <c r="R146" s="165"/>
      <c r="S146" s="165"/>
      <c r="T146" s="165"/>
    </row>
    <row r="147" spans="1:20" s="92" customFormat="1" x14ac:dyDescent="0.35">
      <c r="A147" s="193" t="str">
        <f>F_Inputs!B179</f>
        <v>IPD04_CO_IN_93</v>
      </c>
      <c r="D147" s="203"/>
      <c r="E147" s="204" t="s">
        <v>207</v>
      </c>
      <c r="F147" s="204"/>
      <c r="G147" s="204" t="s">
        <v>163</v>
      </c>
      <c r="H147" s="204"/>
      <c r="J147" s="205"/>
      <c r="K147" s="205"/>
      <c r="L147" s="205"/>
      <c r="M147" s="205"/>
      <c r="N147" s="205"/>
      <c r="O147" s="201">
        <f>F_Inputs!I179</f>
        <v>-19.73</v>
      </c>
      <c r="P147" s="201">
        <f>F_Inputs!J179</f>
        <v>4.6399999999999997</v>
      </c>
      <c r="Q147" s="201">
        <f>F_Inputs!K179</f>
        <v>2.78</v>
      </c>
      <c r="R147" s="201">
        <f>F_Inputs!L179</f>
        <v>-11.51</v>
      </c>
      <c r="S147" s="201">
        <f>F_Inputs!M179</f>
        <v>-10.6799999999999</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InpOfwat</v>
      </c>
      <c r="B1" s="160"/>
      <c r="C1" s="160"/>
      <c r="D1" s="160"/>
      <c r="E1" s="160"/>
      <c r="F1" s="160"/>
      <c r="G1" s="160"/>
      <c r="H1" s="445" t="str">
        <f>InpOfwat!F9</f>
        <v>Thames Water</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222</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Thames Water</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TMS</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419" t="str">
        <f>IF(InpCompany!F12 = InpExpected!F12, "", InpExpected!F12)</f>
        <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tr">
        <f>IF(InpCompany!F14 = InpExpected!F14, "", InpExpected!F14)</f>
        <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416" t="str">
        <f>IF(InpCompany!F15 = InpExpected!F15, "", InpExpected!F15)</f>
        <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120</v>
      </c>
      <c r="F21" s="427" t="str">
        <f>IF(InpCompany!F21 = InpExpected!F21, "", InpExpected!F21)</f>
        <v/>
      </c>
      <c r="G21" s="193" t="str">
        <f>$F$15</f>
        <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121</v>
      </c>
      <c r="F22" s="427">
        <f>IF(InpCompany!F22 = InpExpected!F22, "", InpExpected!F22)</f>
        <v>-9.1004800728694004</v>
      </c>
      <c r="G22" s="193" t="str">
        <f t="shared" ref="G22:G27" si="0">$F$15</f>
        <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122</v>
      </c>
      <c r="F23" s="427" t="str">
        <f>IF(InpCompany!F23 = InpExpected!F23, "", InpExpected!F23)</f>
        <v/>
      </c>
      <c r="G23" s="193" t="str">
        <f t="shared" si="0"/>
        <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123</v>
      </c>
      <c r="F24" s="427" t="str">
        <f>IF(InpCompany!F24 = InpExpected!F24, "", InpExpected!F24)</f>
        <v/>
      </c>
      <c r="G24" s="193" t="str">
        <f t="shared" si="0"/>
        <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124</v>
      </c>
      <c r="F25" s="427" t="str">
        <f>IF(InpCompany!F25 = InpExpected!F25, "", InpExpected!F25)</f>
        <v/>
      </c>
      <c r="G25" s="193" t="str">
        <f t="shared" si="0"/>
        <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125</v>
      </c>
      <c r="F26" s="427" t="str">
        <f>IF(InpCompany!F26 = InpExpected!F26, "", InpExpected!F26)</f>
        <v/>
      </c>
      <c r="G26" s="193" t="str">
        <f t="shared" si="0"/>
        <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126</v>
      </c>
      <c r="F27" s="427" t="str">
        <f>IF(InpCompany!F27 = InpExpected!F27, "", InpExpected!F27)</f>
        <v/>
      </c>
      <c r="G27" s="193" t="str">
        <f t="shared" si="0"/>
        <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427">
        <f>IF(InpCompany!F30 = InpExpected!F30, "", InpExpected!F30)</f>
        <v>-16.753440000000001</v>
      </c>
      <c r="G30" s="193" t="str">
        <f>$F$15</f>
        <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427">
        <f>IF(InpCompany!F31 = InpExpected!F31, "", InpExpected!F31)</f>
        <v>-1.2266323943802</v>
      </c>
      <c r="G31" s="193" t="str">
        <f>$F$15</f>
        <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427">
        <f>IF(InpCompany!F32 = InpExpected!F32, "", InpExpected!F32)</f>
        <v>-0.63421432112364295</v>
      </c>
      <c r="G32" s="193" t="str">
        <f>$F$15</f>
        <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427" t="str">
        <f>IF(InpCompany!F35 = InpExpected!F35, "", InpExpected!F35)</f>
        <v/>
      </c>
      <c r="G35" s="193" t="str">
        <f t="shared" ref="G35:G41" si="1">$F$15</f>
        <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427" t="str">
        <f>IF(InpCompany!F36 = InpExpected!F36, "", InpExpected!F36)</f>
        <v/>
      </c>
      <c r="G36" s="193" t="str">
        <f t="shared" si="1"/>
        <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427" t="str">
        <f>IF(InpCompany!F37 = InpExpected!F37, "", InpExpected!F37)</f>
        <v/>
      </c>
      <c r="G37" s="193" t="str">
        <f t="shared" si="1"/>
        <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427" t="str">
        <f>IF(InpCompany!F38 = InpExpected!F38, "", InpExpected!F38)</f>
        <v/>
      </c>
      <c r="G38" s="193" t="str">
        <f t="shared" si="1"/>
        <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427" t="str">
        <f>IF(InpCompany!F39 = InpExpected!F39, "", InpExpected!F39)</f>
        <v/>
      </c>
      <c r="G39" s="193" t="str">
        <f t="shared" si="1"/>
        <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427" t="str">
        <f>IF(InpCompany!F40 = InpExpected!F40, "", InpExpected!F40)</f>
        <v/>
      </c>
      <c r="G40" s="193" t="str">
        <f t="shared" si="1"/>
        <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427" t="str">
        <f>IF(InpCompany!F41 = InpExpected!F41, "", InpExpected!F41)</f>
        <v/>
      </c>
      <c r="G41" s="193" t="str">
        <f t="shared" si="1"/>
        <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224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427" t="str">
        <f>IF(InpCompany!F47 = InpExpected!F47, "", InpExpected!F47)</f>
        <v/>
      </c>
      <c r="G47" s="193" t="str">
        <f t="shared" ref="G47:G53" si="2">$F$15</f>
        <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427" t="str">
        <f>IF(InpCompany!F48 = InpExpected!F48, "", InpExpected!F48)</f>
        <v/>
      </c>
      <c r="G48" s="193" t="str">
        <f t="shared" si="2"/>
        <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427" t="str">
        <f>IF(InpCompany!F49 = InpExpected!F49, "", InpExpected!F49)</f>
        <v/>
      </c>
      <c r="G49" s="193" t="str">
        <f t="shared" si="2"/>
        <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427" t="str">
        <f>IF(InpCompany!F50 = InpExpected!F50, "", InpExpected!F50)</f>
        <v/>
      </c>
      <c r="G50" s="193" t="str">
        <f t="shared" si="2"/>
        <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427" t="str">
        <f>IF(InpCompany!F51 = InpExpected!F51, "", InpExpected!F51)</f>
        <v/>
      </c>
      <c r="G51" s="193" t="str">
        <f t="shared" si="2"/>
        <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427" t="str">
        <f>IF(InpCompany!F52 = InpExpected!F52, "", InpExpected!F52)</f>
        <v/>
      </c>
      <c r="G52" s="193" t="str">
        <f t="shared" si="2"/>
        <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427" t="str">
        <f>IF(InpCompany!F53 = InpExpected!F53, "", InpExpected!F53)</f>
        <v/>
      </c>
      <c r="G53" s="193" t="str">
        <f t="shared" si="2"/>
        <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427" t="str">
        <f>IF(InpCompany!F56 = InpExpected!F56, "", InpExpected!F56)</f>
        <v/>
      </c>
      <c r="G56" s="193" t="str">
        <f t="shared" ref="G56:G62" si="3">$F$15</f>
        <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427">
        <f>IF(InpCompany!F57 = InpExpected!F57, "", InpExpected!F57)</f>
        <v>0</v>
      </c>
      <c r="G57" s="193" t="str">
        <f t="shared" si="3"/>
        <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427">
        <f>IF(InpCompany!F58 = InpExpected!F58, "", InpExpected!F58)</f>
        <v>0</v>
      </c>
      <c r="G58" s="193" t="str">
        <f t="shared" si="3"/>
        <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427">
        <f>IF(InpCompany!F59 = InpExpected!F59, "", InpExpected!F59)</f>
        <v>0</v>
      </c>
      <c r="G59" s="193" t="str">
        <f t="shared" si="3"/>
        <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427" t="str">
        <f>IF(InpCompany!F60 = InpExpected!F60, "", InpExpected!F60)</f>
        <v/>
      </c>
      <c r="G60" s="193" t="str">
        <f t="shared" si="3"/>
        <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427" t="str">
        <f>IF(InpCompany!F61 = InpExpected!F61, "", InpExpected!F61)</f>
        <v/>
      </c>
      <c r="G61" s="193" t="str">
        <f t="shared" si="3"/>
        <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427" t="str">
        <f>IF(InpCompany!F62 = InpExpected!F62, "", InpExpected!F62)</f>
        <v/>
      </c>
      <c r="G62" s="193" t="str">
        <f t="shared" si="3"/>
        <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427" t="str">
        <f>IF(InpCompany!F67 = InpExpected!F67, "", InpExpected!F67)</f>
        <v/>
      </c>
      <c r="G67" s="193" t="str">
        <f t="shared" ref="G67:G73" si="4">$F$15</f>
        <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427">
        <f>IF(InpCompany!F68 = InpExpected!F68, "", InpExpected!F68)</f>
        <v>-5.3650000000000002</v>
      </c>
      <c r="G68" s="193" t="str">
        <f t="shared" si="4"/>
        <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427" t="str">
        <f>IF(InpCompany!F69 = InpExpected!F69, "", InpExpected!F69)</f>
        <v/>
      </c>
      <c r="G69" s="193" t="str">
        <f t="shared" si="4"/>
        <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427" t="str">
        <f>IF(InpCompany!F70 = InpExpected!F70, "", InpExpected!F70)</f>
        <v/>
      </c>
      <c r="G70" s="193" t="str">
        <f t="shared" si="4"/>
        <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427" t="str">
        <f>IF(InpCompany!F71 = InpExpected!F71, "", InpExpected!F71)</f>
        <v/>
      </c>
      <c r="G71" s="193" t="str">
        <f t="shared" si="4"/>
        <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427" t="str">
        <f>IF(InpCompany!F72 = InpExpected!F72, "", InpExpected!F72)</f>
        <v/>
      </c>
      <c r="G72" s="193" t="str">
        <f t="shared" si="4"/>
        <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427" t="str">
        <f>IF(InpCompany!F73 = InpExpected!F73, "", InpExpected!F73)</f>
        <v/>
      </c>
      <c r="G73" s="193" t="str">
        <f t="shared" si="4"/>
        <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IF(InpCompany!F79 = InpExpected!F79, "", InpExpected!F79)</f>
        <v>2.91957638201563E-2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t="str">
        <f>IF(InpCompany!F80 = InpExpected!F80, "", InpExpected!F80)</f>
        <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t="str">
        <f>IF(InpCompany!F81 = InpExpected!F81, "", InpExpected!F81)</f>
        <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421" t="str">
        <f>IF(InpCompany!Q83 = InpExpected!Q83, "", InpExpected!Q83)</f>
        <v/>
      </c>
      <c r="R83" s="420" t="str">
        <f>IF(InpCompany!R83 = InpExpected!R83, "", InpExpected!R83)</f>
        <v/>
      </c>
      <c r="S83" s="420" t="str">
        <f>IF(InpCompany!S83 = InpExpected!S83, "", InpExpected!S83)</f>
        <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422" t="str">
        <f>IF(InpCompany!J85 = InpExpected!J85, "", InpExpected!J85)</f>
        <v/>
      </c>
      <c r="K85" s="422" t="str">
        <f>IF(InpCompany!K85 = InpExpected!K85, "", InpExpected!K85)</f>
        <v/>
      </c>
      <c r="L85" s="422">
        <f>IF(InpCompany!L85 = InpExpected!L85, "", InpExpected!L85)</f>
        <v>104.7</v>
      </c>
      <c r="M85" s="422">
        <f>IF(InpCompany!M85 = InpExpected!M85, "", InpExpected!M85)</f>
        <v>106.9</v>
      </c>
      <c r="N85" s="422">
        <f>IF(InpCompany!N85 = InpExpected!N85, "", InpExpected!N85)</f>
        <v>108.5</v>
      </c>
      <c r="O85" s="422">
        <f>IF(InpCompany!O85 = InpExpected!O85, "", InpExpected!O85)</f>
        <v>109.1</v>
      </c>
      <c r="P85" s="422">
        <f>IF(InpCompany!P85 = InpExpected!P85, "", InpExpected!P85)</f>
        <v>112.6</v>
      </c>
      <c r="Q85" s="422">
        <f>IF(InpCompany!Q85 = InpExpected!Q85, "", InpExpected!Q85)</f>
        <v>0</v>
      </c>
      <c r="R85" s="422">
        <f>IF(InpCompany!R85 = InpExpected!R85, "", InpExpected!R85)</f>
        <v>0</v>
      </c>
      <c r="S85" s="422">
        <f>IF(InpCompany!S85 = InpExpected!S85, "", InpExpected!S85)</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t="str">
        <f>IF(InpCompany!F88 = InpExpected!F88, "", InpExpected!F88)</f>
        <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t="str">
        <f>IF(InpCompany!F89 = InpExpected!F89, "", InpExpected!F89)</f>
        <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t="str">
        <f>IF(InpCompany!F90 = InpExpected!F90, "", InpExpected!F90)</f>
        <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t="str">
        <f>IF(InpCompany!F91 = InpExpected!F91, "", InpExpected!F91)</f>
        <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t="str">
        <f>IF(InpCompany!F92 = InpExpected!F92, "", InpExpected!F92)</f>
        <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t="str">
        <f>IF(InpCompany!F93 = InpExpected!F93, "", InpExpected!F93)</f>
        <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t="str">
        <f>IF(InpCompany!F94 = InpExpected!F94, "", InpExpected!F94)</f>
        <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t="str">
        <f>IF(InpCompany!F95 = InpExpected!F95, "", InpExpected!F95)</f>
        <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t="str">
        <f>IF(InpCompany!F96 = InpExpected!F96, "", InpExpected!F96)</f>
        <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t="str">
        <f>IF(InpCompany!F97 = InpExpected!F97, "", InpExpected!F97)</f>
        <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t="str">
        <f>IF(InpCompany!F98 = InpExpected!F98, "", InpExpected!F98)</f>
        <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t="str">
        <f>IF(InpCompany!F99 = InpExpected!F99, "", InpExpected!F99)</f>
        <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t="str">
        <f>IF(COUNT(F88:F99),AVERAGE(F88:F99),"")</f>
        <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423" t="str">
        <f>IF(InpCompany!N105 = InpExpected!N105, "", InpExpected!N105)</f>
        <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422" t="str">
        <f>IF(InpCompany!O106 = InpExpected!O106, "", InpExpected!O106)</f>
        <v/>
      </c>
      <c r="P106" s="422" t="str">
        <f>IF(InpCompany!P106 = InpExpected!P106, "", InpExpected!P106)</f>
        <v/>
      </c>
      <c r="Q106" s="422" t="str">
        <f>IF(InpCompany!Q106 = InpExpected!Q106, "", InpExpected!Q106)</f>
        <v/>
      </c>
      <c r="R106" s="422" t="str">
        <f>IF(InpCompany!R106 = InpExpected!R106, "", InpExpected!R106)</f>
        <v/>
      </c>
      <c r="S106" s="422" t="str">
        <f>IF(InpCompany!S106 = InpExpected!S106, "", InpExpected!S106)</f>
        <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423" t="str">
        <f>IF(InpCompany!N109 = InpExpected!N109, "", InpExpected!N109)</f>
        <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422" t="str">
        <f>IF(InpCompany!O110 = InpExpected!O110, "", InpExpected!O110)</f>
        <v/>
      </c>
      <c r="P110" s="422" t="str">
        <f>IF(InpCompany!P110 = InpExpected!P110, "", InpExpected!P110)</f>
        <v/>
      </c>
      <c r="Q110" s="422" t="str">
        <f>IF(InpCompany!Q110 = InpExpected!Q110, "", InpExpected!Q110)</f>
        <v/>
      </c>
      <c r="R110" s="422" t="str">
        <f>IF(InpCompany!R110 = InpExpected!R110, "", InpExpected!R110)</f>
        <v/>
      </c>
      <c r="S110" s="422" t="str">
        <f>IF(InpCompany!S110 = InpExpected!S110, "", InpExpected!S110)</f>
        <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423" t="str">
        <f>IF(InpCompany!N113 = InpExpected!N113, "", InpExpected!N113)</f>
        <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422" t="str">
        <f>IF(InpCompany!O114 = InpExpected!O114, "", InpExpected!O114)</f>
        <v/>
      </c>
      <c r="P114" s="422" t="str">
        <f>IF(InpCompany!P114 = InpExpected!P114, "", InpExpected!P114)</f>
        <v/>
      </c>
      <c r="Q114" s="422" t="str">
        <f>IF(InpCompany!Q114 = InpExpected!Q114, "", InpExpected!Q114)</f>
        <v/>
      </c>
      <c r="R114" s="422" t="str">
        <f>IF(InpCompany!R114 = InpExpected!R114, "", InpExpected!R114)</f>
        <v/>
      </c>
      <c r="S114" s="422" t="str">
        <f>IF(InpCompany!S114 = InpExpected!S114, "", InpExpected!S114)</f>
        <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
      </c>
      <c r="H117" s="166"/>
      <c r="I117" s="193"/>
      <c r="J117" s="165"/>
      <c r="K117" s="165"/>
      <c r="L117" s="165"/>
      <c r="M117" s="165"/>
      <c r="N117" s="165"/>
      <c r="O117" s="255"/>
      <c r="P117" s="423" t="str">
        <f>IF(InpCompany!P117 = InpExpected!P117, "", InpExpected!P117)</f>
        <v/>
      </c>
      <c r="Q117" s="423" t="str">
        <f>IF(InpCompany!Q117 = InpExpected!Q117, "", InpExpected!Q117)</f>
        <v/>
      </c>
      <c r="R117" s="423" t="str">
        <f>IF(InpCompany!R117 = InpExpected!R117, "", InpExpected!R117)</f>
        <v/>
      </c>
      <c r="S117" s="423" t="str">
        <f>IF(InpCompany!S117 = InpExpected!S117, "", InpExpected!S117)</f>
        <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423" t="str">
        <f>IF(InpCompany!P120 = InpExpected!P120, "", InpExpected!P120)</f>
        <v/>
      </c>
      <c r="Q120" s="423" t="str">
        <f>IF(InpCompany!Q120 = InpExpected!Q120, "", InpExpected!Q120)</f>
        <v/>
      </c>
      <c r="R120" s="423" t="str">
        <f>IF(InpCompany!R120 = InpExpected!R120, "", InpExpected!R120)</f>
        <v/>
      </c>
      <c r="S120" s="423" t="str">
        <f>IF(InpCompany!S120 = InpExpected!S120, "", InpExpected!S120)</f>
        <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419" t="str">
        <f>IF(InpCompany!Q123 = InpExpected!Q123, "", InpExpected!Q123)</f>
        <v/>
      </c>
      <c r="R123" s="419" t="str">
        <f>IF(InpCompany!R123 = InpExpected!R123, "", InpExpected!R123)</f>
        <v/>
      </c>
      <c r="S123" s="419" t="str">
        <f>IF(InpCompany!S123 = InpExpected!S123, "", InpExpected!S123)</f>
        <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419" t="str">
        <f>IF(InpCompany!Q124 = InpExpected!Q124, "", InpExpected!Q124)</f>
        <v/>
      </c>
      <c r="R124" s="419" t="str">
        <f>IF(InpCompany!R124 = InpExpected!R124, "", InpExpected!R124)</f>
        <v/>
      </c>
      <c r="S124" s="419" t="str">
        <f>IF(InpCompany!S124 = InpExpected!S124, "", InpExpected!S124)</f>
        <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419" t="str">
        <f>IF(InpCompany!Q125 = InpExpected!Q125, "", InpExpected!Q125)</f>
        <v/>
      </c>
      <c r="R125" s="419" t="str">
        <f>IF(InpCompany!R125 = InpExpected!R125, "", InpExpected!R125)</f>
        <v/>
      </c>
      <c r="S125" s="419" t="str">
        <f>IF(InpCompany!S125 = InpExpected!S125, "", InpExpected!S125)</f>
        <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419" t="str">
        <f>IF(InpCompany!Q126 = InpExpected!Q126, "", InpExpected!Q126)</f>
        <v/>
      </c>
      <c r="R126" s="419" t="str">
        <f>IF(InpCompany!R126 = InpExpected!R126, "", InpExpected!R126)</f>
        <v/>
      </c>
      <c r="S126" s="419" t="str">
        <f>IF(InpCompany!S126 = InpExpected!S126, "", InpExpected!S126)</f>
        <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419" t="str">
        <f>IF(InpCompany!Q127 = InpExpected!Q127, "", InpExpected!Q127)</f>
        <v/>
      </c>
      <c r="R127" s="419" t="str">
        <f>IF(InpCompany!R127 = InpExpected!R127, "", InpExpected!R127)</f>
        <v/>
      </c>
      <c r="S127" s="419" t="str">
        <f>IF(InpCompany!S127 = InpExpected!S127, "", InpExpected!S127)</f>
        <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419" t="str">
        <f>IF(InpCompany!Q128 = InpExpected!Q128, "", InpExpected!Q128)</f>
        <v/>
      </c>
      <c r="R128" s="419" t="str">
        <f>IF(InpCompany!R128 = InpExpected!R128, "", InpExpected!R128)</f>
        <v/>
      </c>
      <c r="S128" s="419" t="str">
        <f>IF(InpCompany!S128 = InpExpected!S128, "", InpExpected!S128)</f>
        <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5" t="str">
        <f>IF(InpCompany!Q130 = InpExpected!Q130, "", InpExpected!Q130)</f>
        <v/>
      </c>
      <c r="R130" s="425" t="str">
        <f>IF(InpCompany!R130 = InpExpected!R130, "", InpExpected!R130)</f>
        <v/>
      </c>
      <c r="S130" s="425" t="str">
        <f>IF(InpCompany!S130 = InpExpected!S130, "", InpExpected!S130)</f>
        <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5" t="str">
        <f>IF(InpCompany!Q131 = InpExpected!Q131, "", InpExpected!Q131)</f>
        <v/>
      </c>
      <c r="R131" s="425" t="str">
        <f>IF(InpCompany!R131 = InpExpected!R131, "", InpExpected!R131)</f>
        <v/>
      </c>
      <c r="S131" s="425" t="str">
        <f>IF(InpCompany!S131 = InpExpected!S131, "", InpExpected!S131)</f>
        <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5" t="str">
        <f>IF(InpCompany!Q132 = InpExpected!Q132, "", InpExpected!Q132)</f>
        <v/>
      </c>
      <c r="R132" s="425" t="str">
        <f>IF(InpCompany!R132 = InpExpected!R132, "", InpExpected!R132)</f>
        <v/>
      </c>
      <c r="S132" s="425" t="str">
        <f>IF(InpCompany!S132 = InpExpected!S132, "", InpExpected!S132)</f>
        <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5" t="str">
        <f>IF(InpCompany!Q133 = InpExpected!Q133, "", InpExpected!Q133)</f>
        <v/>
      </c>
      <c r="R133" s="425" t="str">
        <f>IF(InpCompany!R133 = InpExpected!R133, "", InpExpected!R133)</f>
        <v/>
      </c>
      <c r="S133" s="425" t="str">
        <f>IF(InpCompany!S133 = InpExpected!S133, "", InpExpected!S133)</f>
        <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5" t="str">
        <f>IF(InpCompany!Q134 = InpExpected!Q134, "", InpExpected!Q134)</f>
        <v/>
      </c>
      <c r="R134" s="425" t="str">
        <f>IF(InpCompany!R134 = InpExpected!R134, "", InpExpected!R134)</f>
        <v/>
      </c>
      <c r="S134" s="425" t="str">
        <f>IF(InpCompany!S134 = InpExpected!S134, "", InpExpected!S134)</f>
        <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5" t="str">
        <f>IF(InpCompany!Q135 = InpExpected!Q135, "", InpExpected!Q135)</f>
        <v/>
      </c>
      <c r="R135" s="425" t="str">
        <f>IF(InpCompany!R135 = InpExpected!R135, "", InpExpected!R135)</f>
        <v/>
      </c>
      <c r="S135" s="425" t="str">
        <f>IF(InpCompany!S135 = InpExpected!S135, "", InpExpected!S135)</f>
        <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426" t="str">
        <f>IF(InpCompany!Q137 = InpExpected!Q137, "", InpExpected!Q137)</f>
        <v/>
      </c>
      <c r="R137" s="426" t="str">
        <f>IF(InpCompany!R137 = InpExpected!R137, "", InpExpected!R137)</f>
        <v/>
      </c>
      <c r="S137" s="426" t="str">
        <f>IF(InpCompany!S137 = InpExpected!S137, "", InpExpected!S137)</f>
        <v/>
      </c>
      <c r="T137" s="205"/>
    </row>
    <row r="138" spans="1:20" s="92" customFormat="1" x14ac:dyDescent="0.35">
      <c r="D138" s="203"/>
      <c r="E138" s="92" t="s">
        <v>202</v>
      </c>
      <c r="F138" s="204"/>
      <c r="G138" s="204" t="s">
        <v>160</v>
      </c>
      <c r="H138" s="204"/>
      <c r="J138" s="205"/>
      <c r="K138" s="205"/>
      <c r="L138" s="205"/>
      <c r="M138" s="205"/>
      <c r="N138" s="205"/>
      <c r="O138" s="205"/>
      <c r="P138" s="205"/>
      <c r="Q138" s="426" t="str">
        <f>IF(InpCompany!Q138 = InpExpected!Q138, "", InpExpected!Q138)</f>
        <v/>
      </c>
      <c r="R138" s="426" t="str">
        <f>IF(InpCompany!R138 = InpExpected!R138, "", InpExpected!R138)</f>
        <v/>
      </c>
      <c r="S138" s="426" t="str">
        <f>IF(InpCompany!S138 = InpExpected!S138, "", InpExpected!S138)</f>
        <v/>
      </c>
      <c r="T138" s="205"/>
    </row>
    <row r="139" spans="1:20" s="92" customFormat="1" x14ac:dyDescent="0.35">
      <c r="D139" s="203"/>
      <c r="E139" s="92" t="s">
        <v>203</v>
      </c>
      <c r="F139" s="204"/>
      <c r="G139" s="204" t="s">
        <v>160</v>
      </c>
      <c r="H139" s="204"/>
      <c r="J139" s="205"/>
      <c r="K139" s="205"/>
      <c r="L139" s="205"/>
      <c r="M139" s="205"/>
      <c r="N139" s="205"/>
      <c r="O139" s="205"/>
      <c r="P139" s="205"/>
      <c r="Q139" s="426" t="str">
        <f>IF(InpCompany!Q139 = InpExpected!Q139, "", InpExpected!Q139)</f>
        <v/>
      </c>
      <c r="R139" s="426" t="str">
        <f>IF(InpCompany!R139 = InpExpected!R139, "", InpExpected!R139)</f>
        <v/>
      </c>
      <c r="S139" s="426" t="str">
        <f>IF(InpCompany!S139 = InpExpected!S139, "", InpExpected!S139)</f>
        <v/>
      </c>
      <c r="T139" s="205"/>
    </row>
    <row r="140" spans="1:20" s="92" customFormat="1" x14ac:dyDescent="0.35">
      <c r="D140" s="203"/>
      <c r="E140" s="92" t="s">
        <v>204</v>
      </c>
      <c r="F140" s="204"/>
      <c r="G140" s="204" t="s">
        <v>160</v>
      </c>
      <c r="H140" s="204"/>
      <c r="J140" s="205"/>
      <c r="K140" s="205"/>
      <c r="L140" s="205"/>
      <c r="M140" s="205"/>
      <c r="N140" s="205"/>
      <c r="O140" s="205"/>
      <c r="P140" s="205"/>
      <c r="Q140" s="426" t="str">
        <f>IF(InpCompany!Q140 = InpExpected!Q140, "", InpExpected!Q140)</f>
        <v/>
      </c>
      <c r="R140" s="426" t="str">
        <f>IF(InpCompany!R140 = InpExpected!R140, "", InpExpected!R140)</f>
        <v/>
      </c>
      <c r="S140" s="426" t="str">
        <f>IF(InpCompany!S140 = InpExpected!S140, "", InpExpected!S140)</f>
        <v/>
      </c>
      <c r="T140" s="205"/>
    </row>
    <row r="141" spans="1:20" s="92" customFormat="1" x14ac:dyDescent="0.35">
      <c r="D141" s="203"/>
      <c r="E141" s="92" t="s">
        <v>205</v>
      </c>
      <c r="F141" s="204"/>
      <c r="G141" s="204" t="s">
        <v>160</v>
      </c>
      <c r="H141" s="204"/>
      <c r="J141" s="205"/>
      <c r="K141" s="205"/>
      <c r="L141" s="205"/>
      <c r="M141" s="205"/>
      <c r="N141" s="205"/>
      <c r="O141" s="205"/>
      <c r="P141" s="205"/>
      <c r="Q141" s="426" t="str">
        <f>IF(InpCompany!Q141 = InpExpected!Q141, "", InpExpected!Q141)</f>
        <v/>
      </c>
      <c r="R141" s="426" t="str">
        <f>IF(InpCompany!R141 = InpExpected!R141, "", InpExpected!R141)</f>
        <v/>
      </c>
      <c r="S141" s="426" t="str">
        <f>IF(InpCompany!S141 = InpExpected!S141, "", InpExpected!S141)</f>
        <v/>
      </c>
      <c r="T141" s="205"/>
    </row>
    <row r="142" spans="1:20" s="92" customFormat="1" x14ac:dyDescent="0.35">
      <c r="D142" s="203"/>
      <c r="E142" s="92" t="s">
        <v>624</v>
      </c>
      <c r="F142" s="204"/>
      <c r="G142" s="204" t="s">
        <v>160</v>
      </c>
      <c r="H142" s="204"/>
      <c r="J142" s="205"/>
      <c r="K142" s="205"/>
      <c r="L142" s="205"/>
      <c r="M142" s="205"/>
      <c r="N142" s="205"/>
      <c r="O142" s="205"/>
      <c r="P142" s="205"/>
      <c r="Q142" s="426" t="str">
        <f>IF(InpCompany!Q142 = InpExpected!Q142, "", InpExpected!Q142)</f>
        <v/>
      </c>
      <c r="R142" s="426" t="str">
        <f>IF(InpCompany!R142 = InpExpected!R142, "", InpExpected!R142)</f>
        <v/>
      </c>
      <c r="S142" s="426" t="str">
        <f>IF(InpCompany!S142 = InpExpected!S142, "", InpExpected!S142)</f>
        <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423">
        <f>IF(InpCompany!N146 = InpExpected!N146, "", InpExpected!N146)</f>
        <v>50.227723887126004</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422">
        <f>IF(InpCompany!O147 = InpExpected!O147, "", InpExpected!O147)</f>
        <v>0</v>
      </c>
      <c r="P147" s="422" t="str">
        <f>IF(InpCompany!P147 = InpExpected!P147, "", InpExpected!P147)</f>
        <v/>
      </c>
      <c r="Q147" s="422" t="str">
        <f>IF(InpCompany!Q147 = InpExpected!Q147, "", InpExpected!Q147)</f>
        <v/>
      </c>
      <c r="R147" s="422" t="str">
        <f>IF(InpCompany!R147 = InpExpected!R147, "", InpExpected!R147)</f>
        <v/>
      </c>
      <c r="S147" s="422">
        <f>IF(InpCompany!S147 = InpExpected!S147, "", InpExpected!S147)</f>
        <v>-10.68</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417" t="str">
        <f>IF(InpCompany!F151 = InpExpected!F151, "", InpExpected!F151)</f>
        <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417" t="str">
        <f>IF(InpCompany!F153 = InpExpected!F153, "", InpExpected!F153)</f>
        <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417" t="str">
        <f>IF(InpCompany!F155 = InpExpected!F155, "", InpExpected!F155)</f>
        <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418" t="str">
        <f>IF(InpCompany!F156 = InpExpected!F156, "", InpExpected!F156)</f>
        <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t="str">
        <f>IF(COUNT(F155:F156),DATE(YEAR(F155)+F156,MONTH(F155),DAY(F155)),"")</f>
        <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417" t="str">
        <f>IF(InpCompany!F159 = InpExpected!F159, "", InpExpected!F159)</f>
        <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417" t="str">
        <f>IF(InpCompany!F160 = InpExpected!F160, "", InpExpected!F160)</f>
        <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418" t="str">
        <f>IF(InpCompany!F161 = InpExpected!F161, "", InpExpected!F161)</f>
        <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418" t="str">
        <f>IF(InpCompany!F162 = InpExpected!F162, "", InpExpected!F162)</f>
        <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microsoft.com/sharepoint/v3"/>
    <ds:schemaRef ds:uri="http://schemas.microsoft.com/sharepoint/v4"/>
    <ds:schemaRef ds:uri="11354919-975d-48ee-8859-4dc7ad3be72c"/>
    <ds:schemaRef ds:uri="3fd16285-de11-419c-a64a-2970d22f7ab6"/>
    <ds:schemaRef ds:uri="7041854e-4853-44f9-9e63-23b7acad5461"/>
  </ds:schemaRefs>
</ds:datastoreItem>
</file>

<file path=customXml/itemProps3.xml><?xml version="1.0" encoding="utf-8"?>
<ds:datastoreItem xmlns:ds="http://schemas.openxmlformats.org/officeDocument/2006/customXml" ds:itemID="{5473EA71-684C-4DA2-9B66-8599464DD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B7D5F3-1CFB-43F7-AB2B-60611D13E6FB}">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2021-11-04T16:24:52Z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7" name="f8aa492165544285b4c7fe9d1b6ad82c">
    <vt:lpwstr>Water only companies (WoCs)|91175171-5b11-464a-af37-f57338f7bff6</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Water and wastewater companies (WaSCs)|1f450446-47d1-4fe9-8d64-c249a3be1897</vt:lpwstr>
  </property>
  <property fmtid="{D5CDD505-2E9C-101B-9397-08002B2CF9AE}" pid="22" name="oe9d4f963f4c420b8d2b35d038476850">
    <vt:lpwstr>Company performance monitoring ＆ engagement|3cbb2248-aeb0-4f5e-8833-d72f52afb8f0</vt:lpwstr>
  </property>
  <property fmtid="{D5CDD505-2E9C-101B-9397-08002B2CF9AE}" pid="23" name="b128efbe498d4e38a73555a2e7be12ea">
    <vt:lpwstr/>
  </property>
</Properties>
</file>