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872B8C96-D6B0-4B61-B54F-615191748708}"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R75" i="25" l="1"/>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Q51" i="31" s="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<sst xmlns="http://schemas.openxmlformats.org/spreadsheetml/2006/main" count="2420" uniqueCount="807">
  <si>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</si>
  <si>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</si>
  <si>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</si>
  <si>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</si>
  <si>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</si>
  <si>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</si>
  <si>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</si>
  <si>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</si>
  <si>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</si>
  <si>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</si>
  <si>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</si>
  <si>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</si>
  <si>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</si>
  <si>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</si>
  <si>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</si>
  <si>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</si>
  <si>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</si>
  <si>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</si>
  <si>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</si>
  <si>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</si>
  <si>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</si>
  <si>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</si>
  <si>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</si>
  <si>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</si>
  <si>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</si>
  <si>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</si>
  <si>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</si>
  <si>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</si>
  <si>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</si>
  <si>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</si>
  <si>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</si>
  <si>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</si>
  <si>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</si>
  <si>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</si>
  <si>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</si>
  <si>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</si>
  <si>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</si>
  <si>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</si>
  <si>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</si>
  <si>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</si>
  <si>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</si>
  <si>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</si>
  <si>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</si>
  <si>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</si>
  <si>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</si>
  <si>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</si>
  <si>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</si>
  <si>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</si>
  <si>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</si>
  <si>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</si>
  <si>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</si>
  <si>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</si>
  <si>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</si>
  <si>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</si>
  <si>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</si>
  <si>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</si>
  <si>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</si>
  <si>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</si>
  <si>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</si>
  <si>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</si>
  <si>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</si>
  <si>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</si>
  <si>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</si>
  <si>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</si>
  <si>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</si>
  <si>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</si>
  <si>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</si>
  <si>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</si>
  <si>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</si>
  <si>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</si>
  <si>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</si>
  <si>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</si>
  <si>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</si>
  <si>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</si>
  <si>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</si>
  <si>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</si>
  <si>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</si>
  <si>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</si>
  <si>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</si>
  <si>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</si>
  <si>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</si>
  <si>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</si>
  <si>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</si>
  <si>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</si>
  <si>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</si>
  <si>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</si>
  <si>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</si>
  <si>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</si>
  <si>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</si>
  <si>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</si>
  <si>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</si>
  <si>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</si>
  <si>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</si>
  <si>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</si>
  <si>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</si>
  <si>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</si>
  <si>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</si>
  <si>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</si>
  <si>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</si>
  <si>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</si>
  <si>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</si>
  <si>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</si>
  <si>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</si>
  <si>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</si>
  <si>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</si>
  <si>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</si>
  <si>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</si>
  <si>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</si>
  <si>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</si>
  <si>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</si>
  <si>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</si>
  <si>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</si>
  <si>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</si>
  <si>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</si>
  <si>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</si>
  <si>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</si>
  <si>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</si>
  <si>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</si>
  <si>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</si>
  <si>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</si>
  <si>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</si>
  <si>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</si>
  <si>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</si>
  <si>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</si>
  <si>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</si>
  <si>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</si>
  <si>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</si>
  <si>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</si>
  <si>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</si>
  <si>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</si>
  <si>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</si>
  <si>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</si>
  <si>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</si>
  <si>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</si>
  <si>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</si>
  <si>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</si>
  <si>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</si>
  <si>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</si>
  <si>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</si>
  <si>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</si>
  <si>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</si>
  <si>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</si>
  <si>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</si>
  <si>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</si>
  <si>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HDD</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</si>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</sst>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Hafren Dyfrdwy</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512</v>
      </c>
      <c r="G5" s="20"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603</v>
      </c>
    </row>
    <row r="8" spans="1:79"/>
    <row r="9" spans="1:79" s="33" customFormat="1">
      <c r="A9" s="16"/>
      <c r="B9" s="17" t="s">
        <v>604</v>
      </c>
      <c r="C9" s="18"/>
      <c r="D9" s="19"/>
      <c r="E9" s="32"/>
      <c r="G9" s="34"/>
    </row>
    <row r="10" spans="1:79" s="39" customFormat="1">
      <c r="A10" s="35"/>
      <c r="B10" s="36"/>
      <c r="C10" s="37"/>
      <c r="D10" s="38"/>
      <c r="E10" s="8" t="s">
        <v>605</v>
      </c>
      <c r="G10" s="39" t="s">
        <v>606</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607</v>
      </c>
      <c r="F11" s="31">
        <f xml:space="preserve"> MAX(J10:CA10)</f>
        <v>11</v>
      </c>
      <c r="G11" s="31" t="s">
        <v>608</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609</v>
      </c>
      <c r="G14" s="31" t="s">
        <v>610</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611</v>
      </c>
      <c r="F17" s="51">
        <f xml:space="preserve"> DATE(YEAR(F16), MONTH(F16), 1)</f>
        <v>42095</v>
      </c>
      <c r="G17" s="51" t="s">
        <v>612</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613</v>
      </c>
      <c r="G21" s="56" t="s">
        <v>572</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614</v>
      </c>
      <c r="F22" s="58"/>
      <c r="G22" s="59" t="s">
        <v>572</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615</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616</v>
      </c>
      <c r="G26" s="64" t="s">
        <v>617</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618</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619</v>
      </c>
      <c r="G33" s="31" t="s">
        <v>610</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620</v>
      </c>
      <c r="G34" s="31" t="s">
        <v>610</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621</v>
      </c>
      <c r="F35" s="65">
        <f xml:space="preserve"> SUM(J34:CA34)</f>
        <v>5</v>
      </c>
      <c r="G35" s="31" t="s">
        <v>622</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623</v>
      </c>
      <c r="G39" s="69" t="s">
        <v>610</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624</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625</v>
      </c>
      <c r="G45" s="69" t="s">
        <v>610</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626</v>
      </c>
      <c r="G49" s="31" t="s">
        <v>610</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627</v>
      </c>
      <c r="G53" s="58" t="s">
        <v>610</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628</v>
      </c>
      <c r="F54" s="31">
        <f xml:space="preserve"> SUM(J53:CA53)</f>
        <v>5</v>
      </c>
      <c r="G54" s="31" t="s">
        <v>622</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629</v>
      </c>
      <c r="G58" s="31" t="s">
        <v>610</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630</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631</v>
      </c>
      <c r="G64" s="31" t="s">
        <v>610</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632</v>
      </c>
      <c r="G67" s="31" t="s">
        <v>610</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633</v>
      </c>
      <c r="F68" s="31">
        <f xml:space="preserve"> SUM(J67:CA67)</f>
        <v>1</v>
      </c>
      <c r="G68" s="31" t="s">
        <v>622</v>
      </c>
    </row>
    <row r="69" spans="1:20"/>
    <row r="70" spans="1:20"/>
    <row r="71" spans="1:20" s="213" customFormat="1" ht="13.5">
      <c r="A71" s="213" t="s">
        <v>634</v>
      </c>
    </row>
    <row r="72" spans="1:20"/>
    <row r="73" spans="1:20">
      <c r="E73" s="8" t="str">
        <f xml:space="preserve"> E$11</f>
        <v>Model Column Total</v>
      </c>
      <c r="F73" s="31">
        <f xml:space="preserve"> F$11</f>
        <v>11</v>
      </c>
      <c r="G73" s="31" t="str">
        <f xml:space="preserve"> G$11</f>
        <v>column</v>
      </c>
    </row>
    <row r="74" spans="1:20">
      <c r="D74" s="24" t="s">
        <v>615</v>
      </c>
      <c r="E74" s="8" t="str">
        <f xml:space="preserve"> E$35</f>
        <v>Pre Forecast Period Total</v>
      </c>
      <c r="F74" s="31">
        <f xml:space="preserve"> F$35</f>
        <v>5</v>
      </c>
      <c r="G74" s="31" t="str">
        <f xml:space="preserve"> G$35</f>
        <v>columns</v>
      </c>
    </row>
    <row r="75" spans="1:20">
      <c r="D75" s="24" t="s">
        <v>615</v>
      </c>
      <c r="E75" s="8" t="str">
        <f xml:space="preserve"> E$54</f>
        <v xml:space="preserve">Forecast Period Total </v>
      </c>
      <c r="F75" s="31">
        <f xml:space="preserve"> F$54</f>
        <v>5</v>
      </c>
      <c r="G75" s="31" t="str">
        <f xml:space="preserve"> G$54</f>
        <v>columns</v>
      </c>
    </row>
    <row r="76" spans="1:20">
      <c r="D76" s="24" t="s">
        <v>615</v>
      </c>
      <c r="E76" s="8" t="str">
        <f xml:space="preserve"> E$68</f>
        <v>Post Forecast Period Total</v>
      </c>
      <c r="F76" s="31">
        <f xml:space="preserve"> F$68</f>
        <v>1</v>
      </c>
      <c r="G76" s="31" t="str">
        <f xml:space="preserve"> G$68</f>
        <v>columns</v>
      </c>
    </row>
    <row r="77" spans="1:20">
      <c r="E77" s="8" t="s">
        <v>635</v>
      </c>
      <c r="F77" s="74">
        <f xml:space="preserve"> IF(F73 - SUM(F74:F76) &lt;&gt; 0, 1, 0)</f>
        <v>0</v>
      </c>
      <c r="G77" s="31" t="s">
        <v>636</v>
      </c>
    </row>
    <row r="78" spans="1:20"/>
    <row r="79" spans="1:20">
      <c r="A79" s="75"/>
      <c r="B79" s="75" t="s">
        <v>637</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638</v>
      </c>
      <c r="G85" s="58" t="s">
        <v>639</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640</v>
      </c>
      <c r="F10" s="31"/>
      <c r="G10" s="304" t="s">
        <v>610</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641</v>
      </c>
      <c r="F12" s="306"/>
      <c r="G12" s="306" t="s">
        <v>552</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642</v>
      </c>
      <c r="F16" s="306"/>
      <c r="G16" s="306" t="s">
        <v>552</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Hafren Dyfrdwy</v>
      </c>
    </row>
    <row r="2" spans="1:9" s="78" customFormat="1">
      <c r="A2" s="125"/>
      <c r="B2" s="125"/>
      <c r="C2" s="125"/>
      <c r="D2" s="125"/>
      <c r="E2" s="125"/>
      <c r="F2" s="152" t="s">
        <v>512</v>
      </c>
      <c r="G2" s="152" t="s">
        <v>130</v>
      </c>
      <c r="H2" s="288" t="s">
        <v>513</v>
      </c>
    </row>
    <row r="3" spans="1:9" s="78" customFormat="1">
      <c r="A3" s="125"/>
      <c r="B3" s="125"/>
      <c r="C3" s="125"/>
      <c r="D3" s="125"/>
      <c r="E3" s="125"/>
      <c r="F3" s="152"/>
      <c r="G3" s="152"/>
      <c r="H3" s="288"/>
    </row>
    <row r="4" spans="1:9" s="213" customFormat="1" ht="13.5">
      <c r="A4" s="213" t="s">
        <v>643</v>
      </c>
    </row>
    <row r="5" spans="1:9" s="82" customFormat="1">
      <c r="A5" s="79"/>
      <c r="B5" s="126"/>
      <c r="C5" s="126"/>
      <c r="D5" s="127"/>
      <c r="E5" s="80"/>
      <c r="F5" s="81"/>
      <c r="G5" s="80"/>
      <c r="H5" s="244"/>
      <c r="I5" s="83"/>
    </row>
    <row r="6" spans="1:9" s="82" customFormat="1">
      <c r="A6" s="79"/>
      <c r="B6" s="80"/>
      <c r="C6" s="309" t="s">
        <v>644</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-0.27995116666666697</v>
      </c>
      <c r="G9" s="311" t="str">
        <f>InpActive!G21</f>
        <v>£m (2017-18 FYA CPIH prices)</v>
      </c>
      <c r="H9" s="313"/>
    </row>
    <row r="10" spans="1:9" s="2" customFormat="1">
      <c r="A10" s="128"/>
      <c r="B10" s="128"/>
      <c r="C10" s="128"/>
      <c r="D10" s="128"/>
      <c r="E10" s="311" t="str">
        <f>InpActive!E22</f>
        <v>Net ODI payments - water network plus</v>
      </c>
      <c r="F10" s="312">
        <f>InpActive!F22</f>
        <v>-8.6188666666666705E-2</v>
      </c>
      <c r="G10" s="311" t="str">
        <f>InpActive!G22</f>
        <v>£m (2017-18 FYA CPIH prices)</v>
      </c>
      <c r="H10" s="313"/>
    </row>
    <row r="11" spans="1:9" s="2" customFormat="1">
      <c r="A11" s="128"/>
      <c r="B11" s="128"/>
      <c r="C11" s="128"/>
      <c r="D11" s="128"/>
      <c r="E11" s="311" t="str">
        <f>InpActive!E23</f>
        <v>Net ODI payments - wastewater network plus</v>
      </c>
      <c r="F11" s="312">
        <f>InpActive!F23</f>
        <v>-1.9367160000000001E-2</v>
      </c>
      <c r="G11" s="311" t="str">
        <f>InpActive!G23</f>
        <v>£m (2017-18 FYA CPIH prices)</v>
      </c>
      <c r="H11" s="313"/>
    </row>
    <row r="12" spans="1:9" s="2" customFormat="1">
      <c r="A12" s="128"/>
      <c r="B12" s="128"/>
      <c r="C12" s="128"/>
      <c r="D12" s="128"/>
      <c r="E12" s="311" t="str">
        <f>InpActive!E24</f>
        <v>Net ODI payments - bioresources (sludge)</v>
      </c>
      <c r="F12" s="312">
        <f>InpActive!F24</f>
        <v>0</v>
      </c>
      <c r="G12" s="311" t="str">
        <f>InpActive!G24</f>
        <v>£m (2017-18 FYA CPIH prices)</v>
      </c>
      <c r="H12" s="313"/>
    </row>
    <row r="13" spans="1:9" s="2" customFormat="1">
      <c r="A13" s="128"/>
      <c r="B13" s="128"/>
      <c r="C13" s="128"/>
      <c r="D13" s="128"/>
      <c r="E13" s="311" t="str">
        <f>InpActive!E25</f>
        <v>Net ODI payments - residential retail</v>
      </c>
      <c r="F13" s="312">
        <f>InpActive!F25</f>
        <v>3.9E-2</v>
      </c>
      <c r="G13" s="311" t="str">
        <f>InpActive!G25</f>
        <v>£m (2017-18 FYA CPIH prices)</v>
      </c>
      <c r="H13" s="313"/>
    </row>
    <row r="14" spans="1:9" s="2" customFormat="1">
      <c r="A14" s="128"/>
      <c r="B14" s="128"/>
      <c r="C14" s="128"/>
      <c r="D14" s="128"/>
      <c r="E14" s="311" t="str">
        <f>InpActive!E26</f>
        <v>Net ODI payments - business retail</v>
      </c>
      <c r="F14" s="312">
        <f>InpActive!F26</f>
        <v>-1.77E-2</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-4.5691509589905199E-2</v>
      </c>
      <c r="G18" s="311" t="str">
        <f>InpActive!G30</f>
        <v>£m (2017-18 FYA CPIH prices)</v>
      </c>
      <c r="H18" s="313"/>
    </row>
    <row r="19" spans="1:13" s="2" customFormat="1">
      <c r="A19" s="128"/>
      <c r="B19" s="128"/>
      <c r="C19" s="128"/>
      <c r="D19" s="128"/>
      <c r="E19" s="311" t="str">
        <f>InpActive!E31</f>
        <v>Other in-period payments - D-MeX (water network plus)</v>
      </c>
      <c r="F19" s="312">
        <f>InpActive!F31</f>
        <v>2.7768725939504999E-2</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4.1429147571035701E-3</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645</v>
      </c>
      <c r="E31" s="128"/>
      <c r="F31" s="245"/>
      <c r="G31" s="128"/>
      <c r="M31" s="84"/>
    </row>
    <row r="32" spans="1:13" s="2" customFormat="1">
      <c r="A32" s="128"/>
      <c r="B32" s="128"/>
      <c r="C32" s="128"/>
      <c r="D32" s="128"/>
      <c r="E32" s="315" t="s">
        <v>646</v>
      </c>
      <c r="F32" s="316">
        <f>F9+F23</f>
        <v>-0.27995116666666697</v>
      </c>
      <c r="G32" s="315" t="str">
        <f>InpActive!$F$15</f>
        <v>£m (2017-18 FYA CPIH prices)</v>
      </c>
      <c r="H32" s="313"/>
      <c r="M32" s="84"/>
    </row>
    <row r="33" spans="1:13" s="2" customFormat="1">
      <c r="A33" s="128"/>
      <c r="B33" s="128"/>
      <c r="C33" s="128"/>
      <c r="D33" s="128"/>
      <c r="E33" s="315" t="s">
        <v>647</v>
      </c>
      <c r="F33" s="316">
        <f>F10+F19+F24</f>
        <v>-5.8419940727161709E-2</v>
      </c>
      <c r="G33" s="315" t="str">
        <f>InpActive!$F$15</f>
        <v>£m (2017-18 FYA CPIH prices)</v>
      </c>
      <c r="H33" s="313"/>
      <c r="M33" s="84"/>
    </row>
    <row r="34" spans="1:13" s="2" customFormat="1">
      <c r="A34" s="128"/>
      <c r="B34" s="128"/>
      <c r="C34" s="128"/>
      <c r="D34" s="128"/>
      <c r="E34" s="315" t="s">
        <v>648</v>
      </c>
      <c r="F34" s="316">
        <f>F11+F20+F25</f>
        <v>-1.5224245242896431E-2</v>
      </c>
      <c r="G34" s="315" t="str">
        <f>InpActive!$F$15</f>
        <v>£m (2017-18 FYA CPIH prices)</v>
      </c>
      <c r="H34" s="313"/>
      <c r="M34" s="84"/>
    </row>
    <row r="35" spans="1:13" s="2" customFormat="1">
      <c r="A35" s="128"/>
      <c r="B35" s="128"/>
      <c r="C35" s="128"/>
      <c r="D35" s="128"/>
      <c r="E35" s="315" t="s">
        <v>649</v>
      </c>
      <c r="F35" s="316">
        <f>F12+F26</f>
        <v>0</v>
      </c>
      <c r="G35" s="315" t="str">
        <f>InpActive!$F$15</f>
        <v>£m (2017-18 FYA CPIH prices)</v>
      </c>
      <c r="H35" s="313"/>
      <c r="M35" s="84"/>
    </row>
    <row r="36" spans="1:13" s="2" customFormat="1">
      <c r="A36" s="128"/>
      <c r="B36" s="128"/>
      <c r="C36" s="128"/>
      <c r="D36" s="128"/>
      <c r="E36" s="315" t="s">
        <v>650</v>
      </c>
      <c r="F36" s="316">
        <f>F13+F18+F27</f>
        <v>-6.6915095899051993E-3</v>
      </c>
      <c r="G36" s="315" t="str">
        <f>InpActive!$F$15</f>
        <v>£m (2017-18 FYA CPIH prices)</v>
      </c>
      <c r="H36" s="313"/>
      <c r="M36" s="84"/>
    </row>
    <row r="37" spans="1:13" s="2" customFormat="1">
      <c r="A37" s="128"/>
      <c r="B37" s="128"/>
      <c r="C37" s="128"/>
      <c r="D37" s="128"/>
      <c r="E37" s="315" t="s">
        <v>651</v>
      </c>
      <c r="F37" s="316">
        <f>F14+F28</f>
        <v>-1.77E-2</v>
      </c>
      <c r="G37" s="315" t="str">
        <f>InpActive!$F$15</f>
        <v>£m (2017-18 FYA CPIH prices)</v>
      </c>
      <c r="H37" s="313"/>
      <c r="M37" s="84"/>
    </row>
    <row r="38" spans="1:13" s="2" customFormat="1">
      <c r="A38" s="128"/>
      <c r="B38" s="128"/>
      <c r="C38" s="128"/>
      <c r="D38" s="128"/>
      <c r="E38" s="315" t="s">
        <v>652</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532</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3.9E-2</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653</v>
      </c>
      <c r="E51" s="128"/>
      <c r="F51" s="245"/>
      <c r="G51" s="128"/>
    </row>
    <row r="52" spans="1:8" s="2" customFormat="1">
      <c r="A52" s="128"/>
      <c r="B52" s="128"/>
      <c r="C52" s="128"/>
      <c r="D52" s="128"/>
      <c r="E52" s="315" t="s">
        <v>654</v>
      </c>
      <c r="F52" s="316">
        <f>IF(F32&gt;0,IF(F43&lt;F32,F32-F43,0),F32)</f>
        <v>-0.27995116666666697</v>
      </c>
      <c r="G52" s="315" t="str">
        <f>InpActive!$F$15</f>
        <v>£m (2017-18 FYA CPIH prices)</v>
      </c>
      <c r="H52" s="313"/>
    </row>
    <row r="53" spans="1:8" s="2" customFormat="1">
      <c r="A53" s="128"/>
      <c r="B53" s="128"/>
      <c r="C53" s="128"/>
      <c r="D53" s="128"/>
      <c r="E53" s="315" t="s">
        <v>655</v>
      </c>
      <c r="F53" s="316">
        <f>IF(F33&gt;0,IF(F44&lt;F33,F33-F44,0),F33)</f>
        <v>-5.8419940727161709E-2</v>
      </c>
      <c r="G53" s="315" t="str">
        <f>InpActive!$F$15</f>
        <v>£m (2017-18 FYA CPIH prices)</v>
      </c>
      <c r="H53" s="313"/>
    </row>
    <row r="54" spans="1:8" s="2" customFormat="1">
      <c r="A54" s="128"/>
      <c r="B54" s="128"/>
      <c r="C54" s="128"/>
      <c r="D54" s="128"/>
      <c r="E54" s="315" t="s">
        <v>656</v>
      </c>
      <c r="F54" s="316">
        <f t="shared" ref="F54:F57" si="0">IF(F34&gt;0,IF(F45&lt;F34,F34-F45,0),F34)</f>
        <v>-1.5224245242896431E-2</v>
      </c>
      <c r="G54" s="315" t="str">
        <f>InpActive!$F$15</f>
        <v>£m (2017-18 FYA CPIH prices)</v>
      </c>
      <c r="H54" s="313"/>
    </row>
    <row r="55" spans="1:8" s="2" customFormat="1">
      <c r="A55" s="128"/>
      <c r="B55" s="128"/>
      <c r="C55" s="128"/>
      <c r="D55" s="128"/>
      <c r="E55" s="315" t="s">
        <v>657</v>
      </c>
      <c r="F55" s="316">
        <f t="shared" si="0"/>
        <v>0</v>
      </c>
      <c r="G55" s="315" t="str">
        <f>InpActive!$F$15</f>
        <v>£m (2017-18 FYA CPIH prices)</v>
      </c>
      <c r="H55" s="313"/>
    </row>
    <row r="56" spans="1:8" s="2" customFormat="1">
      <c r="A56" s="128"/>
      <c r="B56" s="128"/>
      <c r="C56" s="128"/>
      <c r="D56" s="128"/>
      <c r="E56" s="315" t="s">
        <v>658</v>
      </c>
      <c r="F56" s="316">
        <f t="shared" si="0"/>
        <v>-6.6915095899051993E-3</v>
      </c>
      <c r="G56" s="315" t="str">
        <f>InpActive!$F$15</f>
        <v>£m (2017-18 FYA CPIH prices)</v>
      </c>
      <c r="H56" s="313"/>
    </row>
    <row r="57" spans="1:8" s="2" customFormat="1">
      <c r="A57" s="128"/>
      <c r="B57" s="128"/>
      <c r="C57" s="128"/>
      <c r="D57" s="128"/>
      <c r="E57" s="315" t="s">
        <v>659</v>
      </c>
      <c r="F57" s="316">
        <f t="shared" si="0"/>
        <v>-1.77E-2</v>
      </c>
      <c r="G57" s="315" t="str">
        <f>InpActive!$F$15</f>
        <v>£m (2017-18 FYA CPIH prices)</v>
      </c>
      <c r="H57" s="313"/>
    </row>
    <row r="58" spans="1:8" s="2" customFormat="1">
      <c r="A58" s="128"/>
      <c r="B58" s="128"/>
      <c r="C58" s="128"/>
      <c r="D58" s="128"/>
      <c r="E58" s="315" t="s">
        <v>660</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661</v>
      </c>
    </row>
    <row r="61" spans="1:8" s="2" customFormat="1">
      <c r="A61" s="128"/>
      <c r="B61" s="128"/>
      <c r="C61" s="128"/>
      <c r="D61" s="128"/>
      <c r="E61" s="128"/>
      <c r="F61" s="130"/>
      <c r="G61" s="128"/>
      <c r="H61" s="245"/>
    </row>
    <row r="62" spans="1:8" s="2" customFormat="1">
      <c r="A62" s="128"/>
      <c r="B62" s="128"/>
      <c r="C62" s="132" t="s">
        <v>540</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662</v>
      </c>
      <c r="E73" s="128"/>
      <c r="F73" s="245"/>
      <c r="G73" s="128"/>
    </row>
    <row r="74" spans="1:8" s="2" customFormat="1">
      <c r="A74" s="128"/>
      <c r="B74" s="128"/>
      <c r="C74" s="128"/>
      <c r="D74" s="128"/>
      <c r="E74" s="315" t="s">
        <v>663</v>
      </c>
      <c r="F74" s="317">
        <f t="shared" ref="F74:F79" si="1">F52-F65</f>
        <v>-0.27995116666666697</v>
      </c>
      <c r="G74" s="315" t="str">
        <f>InpActive!$F$15</f>
        <v>£m (2017-18 FYA CPIH prices)</v>
      </c>
      <c r="H74" s="313"/>
    </row>
    <row r="75" spans="1:8" s="2" customFormat="1">
      <c r="A75" s="128"/>
      <c r="B75" s="128"/>
      <c r="C75" s="128"/>
      <c r="D75" s="128"/>
      <c r="E75" s="315" t="s">
        <v>664</v>
      </c>
      <c r="F75" s="317">
        <f t="shared" si="1"/>
        <v>-5.8419940727161709E-2</v>
      </c>
      <c r="G75" s="315" t="str">
        <f>InpActive!$F$15</f>
        <v>£m (2017-18 FYA CPIH prices)</v>
      </c>
      <c r="H75" s="313"/>
    </row>
    <row r="76" spans="1:8" s="2" customFormat="1">
      <c r="A76" s="128"/>
      <c r="B76" s="128"/>
      <c r="C76" s="128"/>
      <c r="D76" s="128"/>
      <c r="E76" s="315" t="s">
        <v>665</v>
      </c>
      <c r="F76" s="317">
        <f t="shared" si="1"/>
        <v>-1.5224245242896431E-2</v>
      </c>
      <c r="G76" s="315" t="str">
        <f>InpActive!$F$15</f>
        <v>£m (2017-18 FYA CPIH prices)</v>
      </c>
      <c r="H76" s="313"/>
    </row>
    <row r="77" spans="1:8" s="2" customFormat="1">
      <c r="A77" s="128"/>
      <c r="B77" s="128"/>
      <c r="C77" s="128"/>
      <c r="D77" s="128"/>
      <c r="E77" s="315" t="s">
        <v>666</v>
      </c>
      <c r="F77" s="317">
        <f t="shared" si="1"/>
        <v>0</v>
      </c>
      <c r="G77" s="315" t="str">
        <f>InpActive!$F$15</f>
        <v>£m (2017-18 FYA CPIH prices)</v>
      </c>
      <c r="H77" s="313"/>
    </row>
    <row r="78" spans="1:8" s="2" customFormat="1">
      <c r="A78" s="128"/>
      <c r="B78" s="128"/>
      <c r="C78" s="128"/>
      <c r="D78" s="128"/>
      <c r="E78" s="315" t="s">
        <v>667</v>
      </c>
      <c r="F78" s="317">
        <f t="shared" si="1"/>
        <v>-6.6915095899051993E-3</v>
      </c>
      <c r="G78" s="315" t="str">
        <f>InpActive!$F$15</f>
        <v>£m (2017-18 FYA CPIH prices)</v>
      </c>
      <c r="H78" s="313"/>
    </row>
    <row r="79" spans="1:8" s="2" customFormat="1">
      <c r="A79" s="128"/>
      <c r="B79" s="128"/>
      <c r="C79" s="128"/>
      <c r="D79" s="128"/>
      <c r="E79" s="315" t="s">
        <v>668</v>
      </c>
      <c r="F79" s="317">
        <f t="shared" si="1"/>
        <v>-1.77E-2</v>
      </c>
      <c r="G79" s="315" t="str">
        <f>InpActive!$F$15</f>
        <v>£m (2017-18 FYA CPIH prices)</v>
      </c>
      <c r="H79" s="313"/>
    </row>
    <row r="80" spans="1:8" s="2" customFormat="1">
      <c r="A80" s="128"/>
      <c r="B80" s="128"/>
      <c r="C80" s="128"/>
      <c r="D80" s="128"/>
      <c r="E80" s="315" t="s">
        <v>669</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670</v>
      </c>
      <c r="D82" s="128"/>
      <c r="E82" s="128"/>
      <c r="F82" s="245"/>
      <c r="G82" s="128"/>
    </row>
    <row r="83" spans="1:8" s="2" customFormat="1">
      <c r="A83" s="128"/>
      <c r="B83" s="128"/>
      <c r="C83" s="128"/>
      <c r="D83" s="128"/>
      <c r="E83" s="128"/>
      <c r="F83" s="245"/>
      <c r="G83" s="128"/>
    </row>
    <row r="84" spans="1:8" s="2" customFormat="1">
      <c r="A84" s="128"/>
      <c r="B84" s="128"/>
      <c r="C84" s="128"/>
      <c r="D84" s="129" t="s">
        <v>671</v>
      </c>
      <c r="E84" s="128"/>
      <c r="F84" s="245"/>
      <c r="G84" s="128"/>
    </row>
    <row r="85" spans="1:8" s="2" customFormat="1">
      <c r="A85" s="128"/>
      <c r="B85" s="128"/>
      <c r="C85" s="128"/>
      <c r="D85" s="128"/>
      <c r="E85" s="311" t="str">
        <f>InpActive!E79</f>
        <v>Discount rate (wholesale allowed return on capital - real CPIH)</v>
      </c>
      <c r="F85" s="318">
        <f>InpActive!F79</f>
        <v>2.91957638201563E-2</v>
      </c>
      <c r="G85" s="311" t="str">
        <f>InpActive!G79</f>
        <v>Percentage</v>
      </c>
      <c r="H85" s="313"/>
    </row>
    <row r="86" spans="1:8" s="2" customFormat="1">
      <c r="A86" s="128"/>
      <c r="B86" s="128"/>
      <c r="C86" s="128"/>
      <c r="D86" s="128"/>
      <c r="E86" s="311" t="str">
        <f>InpActive!E80</f>
        <v>Discount rate (appointee allowed return on capital - real CPIH)</v>
      </c>
      <c r="F86" s="318">
        <f>InpActive!F80</f>
        <v>2.9600000000000001E-2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672</v>
      </c>
      <c r="E89" s="128"/>
      <c r="F89" s="245"/>
      <c r="G89" s="128"/>
    </row>
    <row r="90" spans="1:8" s="2" customFormat="1">
      <c r="A90" s="128"/>
      <c r="B90" s="128"/>
      <c r="C90" s="128"/>
      <c r="D90" s="128"/>
      <c r="E90" s="315" t="s">
        <v>673</v>
      </c>
      <c r="F90" s="320">
        <f>F65*((1+F$85)^F$87)</f>
        <v>0</v>
      </c>
      <c r="G90" s="128"/>
      <c r="H90" s="313"/>
    </row>
    <row r="91" spans="1:8" s="2" customFormat="1">
      <c r="A91" s="128"/>
      <c r="B91" s="128"/>
      <c r="C91" s="128"/>
      <c r="D91" s="128"/>
      <c r="E91" s="315" t="s">
        <v>674</v>
      </c>
      <c r="F91" s="320">
        <f>F66*((1+F$85)^F$87)</f>
        <v>0</v>
      </c>
      <c r="G91" s="128"/>
      <c r="H91" s="313"/>
    </row>
    <row r="92" spans="1:8" s="2" customFormat="1">
      <c r="A92" s="128"/>
      <c r="B92" s="128"/>
      <c r="C92" s="128"/>
      <c r="D92" s="128"/>
      <c r="E92" s="315" t="s">
        <v>675</v>
      </c>
      <c r="F92" s="320">
        <f>F67*((1+F$85)^F$87)</f>
        <v>0</v>
      </c>
      <c r="G92" s="128"/>
      <c r="H92" s="313"/>
    </row>
    <row r="93" spans="1:8" s="2" customFormat="1">
      <c r="A93" s="128"/>
      <c r="B93" s="128"/>
      <c r="C93" s="128"/>
      <c r="D93" s="128"/>
      <c r="E93" s="315" t="s">
        <v>676</v>
      </c>
      <c r="F93" s="320">
        <f>F68*((1+F$85)^F$87)</f>
        <v>0</v>
      </c>
      <c r="G93" s="128"/>
      <c r="H93" s="313"/>
    </row>
    <row r="94" spans="1:8" s="2" customFormat="1">
      <c r="A94" s="128"/>
      <c r="B94" s="128"/>
      <c r="C94" s="128"/>
      <c r="D94" s="128"/>
      <c r="E94" s="315" t="s">
        <v>677</v>
      </c>
      <c r="F94" s="320">
        <f>F71*((1+F$85)^F$87)</f>
        <v>0</v>
      </c>
      <c r="G94" s="128"/>
      <c r="H94" s="313"/>
    </row>
    <row r="95" spans="1:8" s="2" customFormat="1">
      <c r="A95" s="128"/>
      <c r="B95" s="128"/>
      <c r="C95" s="128"/>
      <c r="D95" s="128"/>
      <c r="E95" s="128"/>
      <c r="F95" s="245"/>
      <c r="G95" s="128"/>
    </row>
    <row r="96" spans="1:8" s="2" customFormat="1">
      <c r="A96" s="128"/>
      <c r="B96" s="128"/>
      <c r="C96" s="128"/>
      <c r="D96" s="310" t="s">
        <v>678</v>
      </c>
      <c r="E96" s="128"/>
      <c r="F96" s="245"/>
      <c r="G96" s="128"/>
    </row>
    <row r="97" spans="1:9" s="2" customFormat="1">
      <c r="A97" s="128"/>
      <c r="B97" s="128"/>
      <c r="C97" s="128"/>
      <c r="D97" s="128"/>
      <c r="E97" s="315" t="s">
        <v>679</v>
      </c>
      <c r="F97" s="317">
        <f>F69*((1+F$86)^F$87)</f>
        <v>0</v>
      </c>
      <c r="G97" s="128"/>
      <c r="H97" s="313"/>
    </row>
    <row r="98" spans="1:9" s="2" customFormat="1">
      <c r="A98" s="128"/>
      <c r="B98" s="128"/>
      <c r="C98" s="128"/>
      <c r="D98" s="128"/>
      <c r="E98" s="315" t="s">
        <v>680</v>
      </c>
      <c r="F98" s="317">
        <f>F70*((1+F$86)^F$87)</f>
        <v>0</v>
      </c>
      <c r="G98" s="128"/>
      <c r="H98" s="313"/>
    </row>
    <row r="99" spans="1:9" s="2" customFormat="1">
      <c r="A99" s="128"/>
      <c r="B99" s="128"/>
      <c r="C99" s="128"/>
      <c r="D99" s="128"/>
      <c r="E99" s="128"/>
      <c r="F99" s="245"/>
      <c r="G99" s="128"/>
    </row>
    <row r="100" spans="1:9" s="2" customFormat="1">
      <c r="A100" s="128"/>
      <c r="B100" s="128"/>
      <c r="C100" s="128"/>
      <c r="D100" s="310" t="s">
        <v>681</v>
      </c>
      <c r="E100" s="128"/>
      <c r="F100" s="245"/>
      <c r="G100" s="128"/>
    </row>
    <row r="101" spans="1:9" s="2" customFormat="1">
      <c r="A101" s="128"/>
      <c r="B101" s="128"/>
      <c r="C101" s="128"/>
      <c r="D101" s="128"/>
      <c r="E101" s="321" t="s">
        <v>673</v>
      </c>
      <c r="F101" s="322">
        <f>F90</f>
        <v>0</v>
      </c>
      <c r="G101" s="321" t="str">
        <f>InpActive!$F$15</f>
        <v>£m (2017-18 FYA CPIH prices)</v>
      </c>
      <c r="H101" s="313"/>
    </row>
    <row r="102" spans="1:9" s="2" customFormat="1">
      <c r="A102" s="128"/>
      <c r="B102" s="128"/>
      <c r="C102" s="128"/>
      <c r="D102" s="128"/>
      <c r="E102" s="321" t="s">
        <v>674</v>
      </c>
      <c r="F102" s="322">
        <f>F91</f>
        <v>0</v>
      </c>
      <c r="G102" s="321" t="str">
        <f>InpActive!$F$15</f>
        <v>£m (2017-18 FYA CPIH prices)</v>
      </c>
      <c r="H102" s="313"/>
    </row>
    <row r="103" spans="1:9" s="2" customFormat="1">
      <c r="A103" s="128"/>
      <c r="B103" s="128"/>
      <c r="C103" s="128"/>
      <c r="D103" s="128"/>
      <c r="E103" s="321" t="s">
        <v>675</v>
      </c>
      <c r="F103" s="322">
        <f>F92</f>
        <v>0</v>
      </c>
      <c r="G103" s="321" t="str">
        <f>InpActive!$F$15</f>
        <v>£m (2017-18 FYA CPIH prices)</v>
      </c>
      <c r="H103" s="313"/>
    </row>
    <row r="104" spans="1:9" s="2" customFormat="1">
      <c r="A104" s="128"/>
      <c r="B104" s="128"/>
      <c r="C104" s="128"/>
      <c r="D104" s="128"/>
      <c r="E104" s="321" t="s">
        <v>676</v>
      </c>
      <c r="F104" s="322">
        <f>F93</f>
        <v>0</v>
      </c>
      <c r="G104" s="321" t="str">
        <f>InpActive!$F$15</f>
        <v>£m (2017-18 FYA CPIH prices)</v>
      </c>
      <c r="H104" s="313"/>
    </row>
    <row r="105" spans="1:9" s="2" customFormat="1">
      <c r="A105" s="128"/>
      <c r="B105" s="128"/>
      <c r="C105" s="128"/>
      <c r="D105" s="128"/>
      <c r="E105" s="321" t="s">
        <v>679</v>
      </c>
      <c r="F105" s="322">
        <f>F97</f>
        <v>0</v>
      </c>
      <c r="G105" s="321" t="str">
        <f>InpActive!$F$15</f>
        <v>£m (2017-18 FYA CPIH prices)</v>
      </c>
      <c r="H105" s="313"/>
    </row>
    <row r="106" spans="1:9" s="2" customFormat="1">
      <c r="A106" s="128"/>
      <c r="B106" s="128"/>
      <c r="C106" s="128"/>
      <c r="D106" s="128"/>
      <c r="E106" s="321" t="s">
        <v>680</v>
      </c>
      <c r="F106" s="322">
        <f>F98</f>
        <v>0</v>
      </c>
      <c r="G106" s="321" t="str">
        <f>InpActive!$F$15</f>
        <v>£m (2017-18 FYA CPIH prices)</v>
      </c>
      <c r="H106" s="313"/>
    </row>
    <row r="107" spans="1:9" s="2" customFormat="1">
      <c r="A107" s="128"/>
      <c r="B107" s="128"/>
      <c r="C107" s="128"/>
      <c r="D107" s="128"/>
      <c r="E107" s="321" t="s">
        <v>677</v>
      </c>
      <c r="F107" s="322">
        <f>F94</f>
        <v>0</v>
      </c>
      <c r="G107" s="321" t="str">
        <f>InpActive!$F$15</f>
        <v>£m (2017-18 FYA CPIH prices)</v>
      </c>
      <c r="H107" s="313"/>
    </row>
    <row r="108" spans="1:9" s="84" customFormat="1">
      <c r="A108" s="131"/>
      <c r="B108" s="131"/>
      <c r="C108" s="131"/>
      <c r="D108" s="131"/>
      <c r="E108" s="321" t="s">
        <v>682</v>
      </c>
      <c r="F108" s="322">
        <f xml:space="preserve"> SUM(F101:F107)</f>
        <v>0</v>
      </c>
      <c r="G108" s="321" t="s">
        <v>585</v>
      </c>
      <c r="H108" s="314"/>
    </row>
    <row r="109" spans="1:9" s="2" customFormat="1">
      <c r="A109" s="128"/>
      <c r="B109" s="128"/>
      <c r="C109" s="128"/>
      <c r="D109" s="128"/>
      <c r="E109" s="128"/>
      <c r="F109" s="130"/>
      <c r="G109" s="128"/>
      <c r="H109" s="245"/>
    </row>
    <row r="110" spans="1:9" s="213" customFormat="1" ht="13.5">
      <c r="A110" s="213" t="s">
        <v>683</v>
      </c>
    </row>
    <row r="111" spans="1:9" s="82" customFormat="1">
      <c r="A111" s="79"/>
      <c r="B111" s="126"/>
      <c r="C111" s="126"/>
      <c r="D111" s="127"/>
      <c r="E111" s="80"/>
      <c r="F111" s="81"/>
      <c r="G111" s="80"/>
      <c r="H111" s="244"/>
      <c r="I111" s="83"/>
    </row>
    <row r="112" spans="1:9" s="82" customFormat="1">
      <c r="A112" s="79"/>
      <c r="B112" s="126"/>
      <c r="C112" s="126"/>
      <c r="D112" s="269" t="s">
        <v>684</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-2.1399643491277001E-3</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-8.4472276939251195E-5</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2.20582827356262E-3</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685</v>
      </c>
      <c r="E121" s="112"/>
      <c r="F121" s="112"/>
      <c r="G121" s="112"/>
      <c r="H121" s="247"/>
    </row>
    <row r="122" spans="1:9" s="2" customFormat="1">
      <c r="A122" s="128"/>
      <c r="B122" s="128"/>
      <c r="C122" s="128"/>
      <c r="D122" s="269"/>
      <c r="E122" s="112" t="s">
        <v>686</v>
      </c>
      <c r="F122" s="410">
        <f>F74+F113</f>
        <v>-0.27995116666666697</v>
      </c>
      <c r="G122" s="128" t="s">
        <v>585</v>
      </c>
      <c r="H122" s="247"/>
    </row>
    <row r="123" spans="1:9" s="2" customFormat="1">
      <c r="A123" s="128"/>
      <c r="B123" s="128"/>
      <c r="C123" s="128"/>
      <c r="D123" s="269"/>
      <c r="E123" s="112" t="s">
        <v>687</v>
      </c>
      <c r="F123" s="409">
        <f t="shared" ref="F123:F128" si="2">F75+F114</f>
        <v>-6.0559905076289409E-2</v>
      </c>
      <c r="G123" s="128" t="s">
        <v>585</v>
      </c>
      <c r="H123" s="247"/>
    </row>
    <row r="124" spans="1:9" s="2" customFormat="1">
      <c r="A124" s="128"/>
      <c r="B124" s="128"/>
      <c r="C124" s="128"/>
      <c r="D124" s="269"/>
      <c r="E124" s="112" t="s">
        <v>688</v>
      </c>
      <c r="F124" s="409">
        <f t="shared" si="2"/>
        <v>-1.5308717519835683E-2</v>
      </c>
      <c r="G124" s="128" t="s">
        <v>585</v>
      </c>
      <c r="H124" s="247"/>
    </row>
    <row r="125" spans="1:9" s="2" customFormat="1">
      <c r="A125" s="128"/>
      <c r="B125" s="128"/>
      <c r="C125" s="128"/>
      <c r="D125" s="269"/>
      <c r="E125" s="112" t="s">
        <v>689</v>
      </c>
      <c r="F125" s="409">
        <f t="shared" si="2"/>
        <v>0</v>
      </c>
      <c r="G125" s="128" t="s">
        <v>585</v>
      </c>
      <c r="H125" s="247"/>
    </row>
    <row r="126" spans="1:9" s="2" customFormat="1">
      <c r="A126" s="128"/>
      <c r="B126" s="128"/>
      <c r="C126" s="128"/>
      <c r="D126" s="269"/>
      <c r="E126" s="112" t="s">
        <v>690</v>
      </c>
      <c r="F126" s="409">
        <f t="shared" si="2"/>
        <v>-4.4856813163425789E-3</v>
      </c>
      <c r="G126" s="128" t="s">
        <v>585</v>
      </c>
      <c r="H126" s="247"/>
    </row>
    <row r="127" spans="1:9" s="2" customFormat="1">
      <c r="A127" s="128"/>
      <c r="B127" s="128"/>
      <c r="C127" s="128"/>
      <c r="D127" s="269"/>
      <c r="E127" s="112" t="s">
        <v>691</v>
      </c>
      <c r="F127" s="409">
        <f t="shared" si="2"/>
        <v>-1.77E-2</v>
      </c>
      <c r="G127" s="128" t="s">
        <v>585</v>
      </c>
      <c r="H127" s="247"/>
    </row>
    <row r="128" spans="1:9" s="2" customFormat="1">
      <c r="A128" s="128"/>
      <c r="B128" s="128"/>
      <c r="C128" s="128"/>
      <c r="D128" s="269"/>
      <c r="E128" s="112" t="s">
        <v>692</v>
      </c>
      <c r="F128" s="409">
        <f t="shared" si="2"/>
        <v>0</v>
      </c>
      <c r="G128" s="128" t="s">
        <v>585</v>
      </c>
      <c r="H128" s="247"/>
    </row>
    <row r="129" spans="1:9" s="82" customFormat="1">
      <c r="A129" s="79"/>
      <c r="B129" s="126"/>
      <c r="C129" s="126"/>
      <c r="D129" s="127"/>
      <c r="E129" s="80"/>
      <c r="F129" s="81"/>
      <c r="G129" s="80"/>
      <c r="H129" s="244"/>
      <c r="I129" s="83"/>
    </row>
    <row r="130" spans="1:9" s="213" customFormat="1" ht="13.5">
      <c r="A130" s="213" t="s">
        <v>693</v>
      </c>
    </row>
    <row r="131" spans="1:9" s="2" customFormat="1">
      <c r="A131" s="128"/>
      <c r="B131" s="128"/>
      <c r="C131" s="132"/>
      <c r="D131" s="128"/>
      <c r="E131" s="128"/>
      <c r="F131" s="130"/>
      <c r="G131" s="128"/>
      <c r="H131" s="245"/>
    </row>
    <row r="132" spans="1:9" s="2" customFormat="1">
      <c r="A132" s="128"/>
      <c r="B132" s="128"/>
      <c r="C132" s="128"/>
      <c r="D132" s="269" t="s">
        <v>685</v>
      </c>
      <c r="E132" s="112"/>
      <c r="F132" s="112"/>
      <c r="G132" s="112"/>
      <c r="H132" s="247"/>
    </row>
    <row r="133" spans="1:9" s="84" customFormat="1">
      <c r="A133" s="131"/>
      <c r="B133" s="131"/>
      <c r="C133" s="131"/>
      <c r="D133" s="111"/>
      <c r="E133" s="321" t="s">
        <v>686</v>
      </c>
      <c r="F133" s="378">
        <f>F122</f>
        <v>-0.27995116666666697</v>
      </c>
      <c r="G133" s="111" t="str">
        <f t="shared" ref="G133:G139" si="3">G74</f>
        <v>£m (2017-18 FYA CPIH prices)</v>
      </c>
      <c r="H133" s="314"/>
    </row>
    <row r="134" spans="1:9" s="84" customFormat="1">
      <c r="A134" s="131"/>
      <c r="B134" s="131"/>
      <c r="C134" s="131"/>
      <c r="D134" s="111"/>
      <c r="E134" s="321" t="s">
        <v>687</v>
      </c>
      <c r="F134" s="378">
        <f t="shared" ref="F134:F139" si="4">F123</f>
        <v>-6.0559905076289409E-2</v>
      </c>
      <c r="G134" s="111" t="str">
        <f t="shared" si="3"/>
        <v>£m (2017-18 FYA CPIH prices)</v>
      </c>
      <c r="H134" s="314"/>
    </row>
    <row r="135" spans="1:9" s="84" customFormat="1">
      <c r="A135" s="131"/>
      <c r="B135" s="131"/>
      <c r="C135" s="131"/>
      <c r="D135" s="111"/>
      <c r="E135" s="321" t="s">
        <v>688</v>
      </c>
      <c r="F135" s="378">
        <f t="shared" si="4"/>
        <v>-1.5308717519835683E-2</v>
      </c>
      <c r="G135" s="111" t="str">
        <f t="shared" si="3"/>
        <v>£m (2017-18 FYA CPIH prices)</v>
      </c>
      <c r="H135" s="314"/>
    </row>
    <row r="136" spans="1:9" s="84" customFormat="1">
      <c r="A136" s="131"/>
      <c r="B136" s="131"/>
      <c r="C136" s="131"/>
      <c r="D136" s="111"/>
      <c r="E136" s="321" t="s">
        <v>689</v>
      </c>
      <c r="F136" s="378">
        <f t="shared" si="4"/>
        <v>0</v>
      </c>
      <c r="G136" s="111" t="str">
        <f t="shared" si="3"/>
        <v>£m (2017-18 FYA CPIH prices)</v>
      </c>
      <c r="H136" s="314"/>
    </row>
    <row r="137" spans="1:9" s="84" customFormat="1">
      <c r="A137" s="131"/>
      <c r="B137" s="131"/>
      <c r="C137" s="131"/>
      <c r="D137" s="111"/>
      <c r="E137" s="321" t="s">
        <v>690</v>
      </c>
      <c r="F137" s="378">
        <f t="shared" si="4"/>
        <v>-4.4856813163425789E-3</v>
      </c>
      <c r="G137" s="111" t="str">
        <f t="shared" si="3"/>
        <v>£m (2017-18 FYA CPIH prices)</v>
      </c>
      <c r="H137" s="314"/>
    </row>
    <row r="138" spans="1:9" s="84" customFormat="1">
      <c r="A138" s="131"/>
      <c r="B138" s="131"/>
      <c r="C138" s="131"/>
      <c r="D138" s="111"/>
      <c r="E138" s="321" t="s">
        <v>691</v>
      </c>
      <c r="F138" s="378">
        <f t="shared" si="4"/>
        <v>-1.77E-2</v>
      </c>
      <c r="G138" s="111" t="str">
        <f t="shared" si="3"/>
        <v>£m (2017-18 FYA CPIH prices)</v>
      </c>
      <c r="H138" s="314"/>
    </row>
    <row r="139" spans="1:9" s="84" customFormat="1">
      <c r="A139" s="131"/>
      <c r="B139" s="131"/>
      <c r="C139" s="131"/>
      <c r="D139" s="111"/>
      <c r="E139" s="321" t="s">
        <v>692</v>
      </c>
      <c r="F139" s="378">
        <f t="shared" si="4"/>
        <v>0</v>
      </c>
      <c r="G139" s="111" t="str">
        <f t="shared" si="3"/>
        <v>£m (2017-18 FYA CPIH prices)</v>
      </c>
      <c r="H139" s="314"/>
    </row>
    <row r="140" spans="1:9" s="389" customFormat="1">
      <c r="A140" s="385"/>
      <c r="B140" s="385"/>
      <c r="C140" s="385"/>
      <c r="D140" s="385"/>
      <c r="E140" s="386" t="s">
        <v>694</v>
      </c>
      <c r="F140" s="387">
        <f xml:space="preserve"> SUM(F133:F139)</f>
        <v>-0.37800547057913464</v>
      </c>
      <c r="G140" s="386" t="s">
        <v>585</v>
      </c>
      <c r="H140" s="388"/>
    </row>
    <row r="141" spans="1:9"/>
    <row r="142" spans="1:9" s="212" customFormat="1" ht="13.5">
      <c r="A142" s="212" t="s">
        <v>511</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activeCell="J6" sqref="J6"/>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s="157" customFormat="1">
      <c r="A8" s="158"/>
      <c r="B8" s="159"/>
      <c r="C8" s="160"/>
    </row>
    <row r="9" spans="1:20" s="157" customFormat="1">
      <c r="A9" s="158"/>
      <c r="B9" s="159" t="s">
        <v>695</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-0.27995116666666697</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-0.27995116666666697</v>
      </c>
      <c r="S20" s="301">
        <f t="shared" si="2"/>
        <v>0</v>
      </c>
      <c r="T20" s="301">
        <f t="shared" si="2"/>
        <v>0</v>
      </c>
    </row>
    <row r="21" spans="1:20" s="157" customFormat="1">
      <c r="A21" s="158"/>
      <c r="B21" s="159"/>
      <c r="C21" s="160"/>
    </row>
    <row r="22" spans="1:20" s="213" customFormat="1" ht="13.5">
      <c r="A22" s="213" t="s">
        <v>700</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3.3090370155933999</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3.3090370155933999</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-5.24</v>
      </c>
      <c r="Q27" s="305">
        <f xml:space="preserve"> InpActive!Q$106</f>
        <v>-38.75</v>
      </c>
      <c r="R27" s="305">
        <f xml:space="preserve"> InpActive!R$106</f>
        <v>13.85</v>
      </c>
      <c r="S27" s="305">
        <f xml:space="preserve"> InpActive!S$106</f>
        <v>1.45</v>
      </c>
      <c r="T27" s="305">
        <f xml:space="preserve"> InpActive!T$106</f>
        <v>0</v>
      </c>
    </row>
    <row r="28" spans="1:20" s="157" customFormat="1">
      <c r="A28" s="158"/>
      <c r="B28" s="159"/>
      <c r="E28" s="226" t="s">
        <v>701</v>
      </c>
      <c r="F28" s="226"/>
      <c r="G28" s="226" t="s">
        <v>552</v>
      </c>
      <c r="H28" s="226"/>
      <c r="I28" s="226"/>
      <c r="J28" s="97">
        <f>J27/100</f>
        <v>0</v>
      </c>
      <c r="K28" s="97">
        <f t="shared" ref="K28:T28" si="3">K27/100</f>
        <v>0</v>
      </c>
      <c r="L28" s="97">
        <f t="shared" si="3"/>
        <v>0</v>
      </c>
      <c r="M28" s="97">
        <f t="shared" si="3"/>
        <v>0</v>
      </c>
      <c r="N28" s="97">
        <f t="shared" si="3"/>
        <v>0</v>
      </c>
      <c r="O28" s="97">
        <f t="shared" si="3"/>
        <v>0</v>
      </c>
      <c r="P28" s="97">
        <f t="shared" si="3"/>
        <v>-5.2400000000000002E-2</v>
      </c>
      <c r="Q28" s="97">
        <f t="shared" si="3"/>
        <v>-0.38750000000000001</v>
      </c>
      <c r="R28" s="97">
        <f t="shared" si="3"/>
        <v>0.13849999999999998</v>
      </c>
      <c r="S28" s="97">
        <f t="shared" si="3"/>
        <v>1.4499999999999999E-2</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702</v>
      </c>
      <c r="G30" s="157" t="s">
        <v>569</v>
      </c>
      <c r="H30" s="157">
        <f xml:space="preserve"> SUM( J30:T30 )</f>
        <v>16.509063105794841</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3.3585642300456864</v>
      </c>
      <c r="P30" s="157">
        <f xml:space="preserve"> IF(P26=1, $H25 * (1+P29+P28), O30 *  (1+P29+P28))</f>
        <v>3.2011481698108994</v>
      </c>
      <c r="Q30" s="157">
        <f xml:space="preserve"> IF(Q26=1, $H25 * (1+Q29+Q28), P30 *  (1+Q29+Q28))</f>
        <v>2.1074103195367151</v>
      </c>
      <c r="R30" s="157">
        <f t="shared" si="4"/>
        <v>2.5889535775508548</v>
      </c>
      <c r="S30" s="157">
        <f t="shared" si="4"/>
        <v>2.6264934044253421</v>
      </c>
      <c r="T30" s="157">
        <f t="shared" si="4"/>
        <v>2.6264934044253421</v>
      </c>
    </row>
    <row r="31" spans="1:20" s="157" customFormat="1">
      <c r="A31" s="158"/>
      <c r="B31" s="159"/>
      <c r="C31" s="160"/>
    </row>
    <row r="32" spans="1:20" s="157" customFormat="1">
      <c r="A32" s="158"/>
      <c r="B32" s="159" t="s">
        <v>703</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-0.27995116666666697</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-0.34201617531597939</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-0.34201617531597939</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-0.34201617531597939</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-0.34201617531597939</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-0.11400539177199311</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-0.11400539177199311</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-0.34201617531597939</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-0.34201617531597939</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-0.11400539177199311</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-0.11400539177199311</v>
      </c>
      <c r="S46" s="165">
        <f t="shared" si="12"/>
        <v>0</v>
      </c>
      <c r="T46" s="165">
        <f t="shared" si="12"/>
        <v>0</v>
      </c>
    </row>
    <row r="47" spans="1:20" s="157" customFormat="1">
      <c r="A47" s="158"/>
      <c r="B47" s="159"/>
      <c r="C47" s="160"/>
      <c r="E47" s="157" t="s">
        <v>708</v>
      </c>
      <c r="G47" s="157" t="s">
        <v>569</v>
      </c>
      <c r="H47" s="165">
        <f xml:space="preserve"> H45 + H46</f>
        <v>-0.45602156708797248</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-0.45602156708797248</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16.509063105794841</v>
      </c>
      <c r="I49" s="157">
        <f t="shared" si="14"/>
        <v>0</v>
      </c>
      <c r="J49" s="165">
        <f t="shared" si="14"/>
        <v>0</v>
      </c>
      <c r="K49" s="165">
        <f t="shared" si="14"/>
        <v>0</v>
      </c>
      <c r="L49" s="165">
        <f t="shared" si="14"/>
        <v>0</v>
      </c>
      <c r="M49" s="165">
        <f t="shared" si="14"/>
        <v>0</v>
      </c>
      <c r="N49" s="165">
        <f t="shared" si="14"/>
        <v>0</v>
      </c>
      <c r="O49" s="165">
        <f t="shared" si="14"/>
        <v>3.3585642300456864</v>
      </c>
      <c r="P49" s="165">
        <f t="shared" si="14"/>
        <v>3.2011481698108994</v>
      </c>
      <c r="Q49" s="165">
        <f t="shared" si="14"/>
        <v>2.1074103195367151</v>
      </c>
      <c r="R49" s="165">
        <f t="shared" si="14"/>
        <v>2.5889535775508548</v>
      </c>
      <c r="S49" s="165">
        <f t="shared" si="14"/>
        <v>2.6264934044253421</v>
      </c>
      <c r="T49" s="165">
        <f t="shared" si="14"/>
        <v>2.6264934044253421</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-0.45602156708797248</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-0.45602156708797248</v>
      </c>
      <c r="S50" s="165">
        <f t="shared" si="15"/>
        <v>0</v>
      </c>
      <c r="T50" s="165">
        <f t="shared" si="15"/>
        <v>0</v>
      </c>
    </row>
    <row r="51" spans="1:20" s="157" customFormat="1">
      <c r="A51" s="158"/>
      <c r="B51" s="159"/>
      <c r="C51" s="160"/>
      <c r="E51" s="157" t="s">
        <v>709</v>
      </c>
      <c r="G51" s="157" t="s">
        <v>569</v>
      </c>
      <c r="H51" s="157">
        <f xml:space="preserve"> SUM( J51:T51 )</f>
        <v>16.053041538706868</v>
      </c>
      <c r="J51" s="165">
        <f xml:space="preserve"> J49 + J50</f>
        <v>0</v>
      </c>
      <c r="K51" s="165">
        <f t="shared" ref="K51:T51" si="16" xml:space="preserve"> K49 + K50</f>
        <v>0</v>
      </c>
      <c r="L51" s="165">
        <f t="shared" si="16"/>
        <v>0</v>
      </c>
      <c r="M51" s="165">
        <f t="shared" si="16"/>
        <v>0</v>
      </c>
      <c r="N51" s="165">
        <f t="shared" si="16"/>
        <v>0</v>
      </c>
      <c r="O51" s="165">
        <f t="shared" si="16"/>
        <v>3.3585642300456864</v>
      </c>
      <c r="P51" s="165">
        <f t="shared" si="16"/>
        <v>3.2011481698108994</v>
      </c>
      <c r="Q51" s="165">
        <f t="shared" si="16"/>
        <v>2.1074103195367151</v>
      </c>
      <c r="R51" s="165">
        <f t="shared" si="16"/>
        <v>2.1329320104628824</v>
      </c>
      <c r="S51" s="165">
        <f t="shared" si="16"/>
        <v>2.6264934044253421</v>
      </c>
      <c r="T51" s="165">
        <f t="shared" si="16"/>
        <v>2.6264934044253421</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16.053041538706868</v>
      </c>
      <c r="I54" s="157">
        <f t="shared" si="17"/>
        <v>0</v>
      </c>
      <c r="J54" s="157">
        <f t="shared" si="17"/>
        <v>0</v>
      </c>
      <c r="K54" s="157">
        <f t="shared" si="17"/>
        <v>0</v>
      </c>
      <c r="L54" s="157">
        <f t="shared" si="17"/>
        <v>0</v>
      </c>
      <c r="M54" s="157">
        <f t="shared" si="17"/>
        <v>0</v>
      </c>
      <c r="N54" s="157">
        <f t="shared" si="17"/>
        <v>0</v>
      </c>
      <c r="O54" s="157">
        <f t="shared" si="17"/>
        <v>3.3585642300456864</v>
      </c>
      <c r="P54" s="157">
        <f t="shared" si="17"/>
        <v>3.2011481698108994</v>
      </c>
      <c r="Q54" s="157">
        <f t="shared" si="17"/>
        <v>2.1074103195367151</v>
      </c>
      <c r="R54" s="157">
        <f t="shared" si="17"/>
        <v>2.1329320104628824</v>
      </c>
      <c r="S54" s="157">
        <f t="shared" si="17"/>
        <v>2.6264934044253421</v>
      </c>
      <c r="T54" s="157">
        <f t="shared" si="17"/>
        <v>2.6264934044253421</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-4.6870046082949424E-2</v>
      </c>
      <c r="Q55" s="200">
        <f t="shared" si="18"/>
        <v>-0.34167048579285053</v>
      </c>
      <c r="R55" s="200">
        <f t="shared" si="18"/>
        <v>1.2110451718665649E-2</v>
      </c>
      <c r="S55" s="200">
        <f t="shared" si="18"/>
        <v>0.23140043449174375</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-4.6870046082949424E-2</v>
      </c>
      <c r="Q60" s="97">
        <f t="shared" si="21"/>
        <v>-0.34167048579285053</v>
      </c>
      <c r="R60" s="97">
        <f t="shared" si="21"/>
        <v>1.2110451718665649E-2</v>
      </c>
      <c r="S60" s="97">
        <f t="shared" si="21"/>
        <v>0.23140043449174375</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-7.7889548281334431E-2</v>
      </c>
      <c r="S63" s="200">
        <f t="shared" si="23"/>
        <v>0.23140043449174375</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-7.7889548281334431E-2</v>
      </c>
      <c r="S65" s="97">
        <f t="shared" si="24"/>
        <v>0.23140043449174375</v>
      </c>
      <c r="T65" s="97">
        <f t="shared" si="24"/>
        <v>0</v>
      </c>
    </row>
    <row r="66" spans="1:20" s="157" customFormat="1">
      <c r="A66" s="158"/>
      <c r="B66" s="159"/>
      <c r="E66" s="324" t="s">
        <v>714</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-5.2400000000000002E-2</v>
      </c>
      <c r="Q66" s="271">
        <f t="shared" si="25"/>
        <v>-0.38750000000000001</v>
      </c>
      <c r="R66" s="271">
        <f t="shared" si="25"/>
        <v>-7.7799999999999994E-2</v>
      </c>
      <c r="S66" s="271">
        <f t="shared" si="25"/>
        <v>0.23139999999999999</v>
      </c>
      <c r="T66" s="271">
        <f t="shared" si="25"/>
        <v>0</v>
      </c>
    </row>
    <row r="67" spans="1:20" s="181" customFormat="1">
      <c r="A67" s="179"/>
      <c r="B67" s="180"/>
      <c r="E67" s="325" t="s">
        <v>714</v>
      </c>
      <c r="G67" s="227" t="s">
        <v>553</v>
      </c>
      <c r="H67" s="182"/>
      <c r="I67" s="182"/>
      <c r="J67" s="181">
        <f>J66*100</f>
        <v>0</v>
      </c>
      <c r="K67" s="181">
        <f t="shared" ref="K67:T67" si="26">K66*100</f>
        <v>0</v>
      </c>
      <c r="L67" s="181">
        <f t="shared" si="26"/>
        <v>0</v>
      </c>
      <c r="M67" s="181">
        <f t="shared" si="26"/>
        <v>0</v>
      </c>
      <c r="N67" s="181">
        <f t="shared" si="26"/>
        <v>0</v>
      </c>
      <c r="O67" s="181">
        <f t="shared" si="26"/>
        <v>0</v>
      </c>
      <c r="P67" s="181">
        <f t="shared" si="26"/>
        <v>-5.24</v>
      </c>
      <c r="Q67" s="181">
        <f t="shared" si="26"/>
        <v>-38.75</v>
      </c>
      <c r="R67" s="181">
        <f t="shared" si="26"/>
        <v>-7.7799999999999994</v>
      </c>
      <c r="S67" s="181">
        <f t="shared" si="26"/>
        <v>23.14</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-6.0559905076289409E-2</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-6.0559905076289409E-2</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16.620240667520601</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16.620240667520601</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4.4199999999999902</v>
      </c>
      <c r="Q27" s="305">
        <f xml:space="preserve"> InpActive!Q$110</f>
        <v>1.3</v>
      </c>
      <c r="R27" s="305">
        <f xml:space="preserve"> InpActive!R$110</f>
        <v>4.45</v>
      </c>
      <c r="S27" s="305">
        <f xml:space="preserve"> InpActive!S$110</f>
        <v>-0.96</v>
      </c>
      <c r="T27" s="305">
        <f xml:space="preserve"> InpActive!T$110</f>
        <v>0</v>
      </c>
    </row>
    <row r="28" spans="1:20">
      <c r="A28" s="158"/>
      <c r="B28" s="159"/>
      <c r="C28" s="157"/>
      <c r="D28" s="157"/>
      <c r="E28" s="226" t="s">
        <v>701</v>
      </c>
      <c r="F28" s="226"/>
      <c r="G28" s="226" t="s">
        <v>552</v>
      </c>
      <c r="H28" s="226"/>
      <c r="I28" s="226"/>
      <c r="J28" s="226">
        <f>J27/100</f>
        <v>0</v>
      </c>
      <c r="K28" s="226">
        <f t="shared" ref="K28:T28" si="3">K27/100</f>
        <v>0</v>
      </c>
      <c r="L28" s="226">
        <f t="shared" si="3"/>
        <v>0</v>
      </c>
      <c r="M28" s="226">
        <f t="shared" si="3"/>
        <v>0</v>
      </c>
      <c r="N28" s="226">
        <f t="shared" si="3"/>
        <v>0</v>
      </c>
      <c r="O28" s="260">
        <f t="shared" si="3"/>
        <v>0</v>
      </c>
      <c r="P28" s="226">
        <f t="shared" si="3"/>
        <v>4.4199999999999899E-2</v>
      </c>
      <c r="Q28" s="226">
        <f t="shared" si="3"/>
        <v>1.3000000000000001E-2</v>
      </c>
      <c r="R28" s="226">
        <f t="shared" si="3"/>
        <v>4.4500000000000005E-2</v>
      </c>
      <c r="S28" s="226">
        <f t="shared" si="3"/>
        <v>-9.5999999999999992E-3</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702</v>
      </c>
      <c r="F30" s="157"/>
      <c r="G30" s="157" t="s">
        <v>569</v>
      </c>
      <c r="H30" s="157">
        <f xml:space="preserve"> SUM( J30:T30 )</f>
        <v>116.73252924075862</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16.869000116239338</v>
      </c>
      <c r="P30" s="157">
        <f xml:space="preserve"> IF(P26=1, $H25 * (1+P29+P28), O30 *  (1+P29+P28))</f>
        <v>17.707894714646638</v>
      </c>
      <c r="Q30" s="157">
        <f t="shared" si="4"/>
        <v>18.749641558340649</v>
      </c>
      <c r="R30" s="157">
        <f t="shared" si="4"/>
        <v>21.271468347937468</v>
      </c>
      <c r="S30" s="157">
        <f t="shared" si="4"/>
        <v>21.067262251797267</v>
      </c>
      <c r="T30" s="157">
        <f t="shared" si="4"/>
        <v>21.067262251797267</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703</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-6.0559905076289409E-2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-7.3986000338242014E-2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-7.3986000338242014E-2</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-7.3986000338242014E-2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-7.3986000338242014E-2</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-2.4662000112747332E-2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-2.4662000112747332E-2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-7.3986000338242014E-2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-7.3986000338242014E-2</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-2.4662000112747332E-2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-2.4662000112747332E-2</v>
      </c>
      <c r="S46" s="165">
        <f t="shared" si="12"/>
        <v>0</v>
      </c>
      <c r="T46" s="165">
        <f t="shared" si="12"/>
        <v>0</v>
      </c>
    </row>
    <row r="47" spans="1:20" s="157" customFormat="1">
      <c r="A47" s="158"/>
      <c r="B47" s="159"/>
      <c r="C47" s="160"/>
      <c r="E47" s="157" t="s">
        <v>708</v>
      </c>
      <c r="G47" s="157" t="s">
        <v>569</v>
      </c>
      <c r="H47" s="165">
        <f xml:space="preserve"> H45 + H46</f>
        <v>-9.8648000450989343E-2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-9.8648000450989343E-2</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116.73252924075862</v>
      </c>
      <c r="I49" s="157">
        <f t="shared" si="14"/>
        <v>0</v>
      </c>
      <c r="J49" s="165">
        <f t="shared" si="14"/>
        <v>0</v>
      </c>
      <c r="K49" s="165">
        <f t="shared" si="14"/>
        <v>0</v>
      </c>
      <c r="L49" s="165">
        <f t="shared" si="14"/>
        <v>0</v>
      </c>
      <c r="M49" s="165">
        <f t="shared" si="14"/>
        <v>0</v>
      </c>
      <c r="N49" s="165">
        <f t="shared" si="14"/>
        <v>0</v>
      </c>
      <c r="O49" s="165">
        <f t="shared" si="14"/>
        <v>16.869000116239338</v>
      </c>
      <c r="P49" s="165">
        <f t="shared" si="14"/>
        <v>17.707894714646638</v>
      </c>
      <c r="Q49" s="165">
        <f t="shared" si="14"/>
        <v>18.749641558340649</v>
      </c>
      <c r="R49" s="165">
        <f t="shared" si="14"/>
        <v>21.271468347937468</v>
      </c>
      <c r="S49" s="165">
        <f t="shared" si="14"/>
        <v>21.067262251797267</v>
      </c>
      <c r="T49" s="165">
        <f t="shared" si="14"/>
        <v>21.067262251797267</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-9.8648000450989343E-2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-9.8648000450989343E-2</v>
      </c>
      <c r="S50" s="165">
        <f t="shared" si="15"/>
        <v>0</v>
      </c>
      <c r="T50" s="165">
        <f t="shared" si="15"/>
        <v>0</v>
      </c>
    </row>
    <row r="51" spans="1:20" s="157" customFormat="1">
      <c r="A51" s="158"/>
      <c r="B51" s="159"/>
      <c r="C51" s="160"/>
      <c r="E51" s="157" t="s">
        <v>709</v>
      </c>
      <c r="G51" s="157" t="s">
        <v>569</v>
      </c>
      <c r="H51" s="157">
        <f xml:space="preserve"> SUM( J51:T51 )</f>
        <v>116.63388124030766</v>
      </c>
      <c r="J51" s="165">
        <f xml:space="preserve"> J49 + J50</f>
        <v>0</v>
      </c>
      <c r="K51" s="165">
        <f t="shared" ref="K51:T51" si="16" xml:space="preserve"> K49 + K50</f>
        <v>0</v>
      </c>
      <c r="L51" s="165">
        <f t="shared" si="16"/>
        <v>0</v>
      </c>
      <c r="M51" s="165">
        <f t="shared" si="16"/>
        <v>0</v>
      </c>
      <c r="N51" s="165">
        <f t="shared" si="16"/>
        <v>0</v>
      </c>
      <c r="O51" s="165">
        <f t="shared" si="16"/>
        <v>16.869000116239338</v>
      </c>
      <c r="P51" s="165">
        <f t="shared" si="16"/>
        <v>17.707894714646638</v>
      </c>
      <c r="Q51" s="165">
        <f xml:space="preserve"> Q49 + Q50</f>
        <v>18.749641558340649</v>
      </c>
      <c r="R51" s="165">
        <f t="shared" si="16"/>
        <v>21.172820347486478</v>
      </c>
      <c r="S51" s="165">
        <f t="shared" si="16"/>
        <v>21.067262251797267</v>
      </c>
      <c r="T51" s="165">
        <f t="shared" si="16"/>
        <v>21.067262251797267</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116.63388124030766</v>
      </c>
      <c r="I54" s="157">
        <f t="shared" si="17"/>
        <v>0</v>
      </c>
      <c r="J54" s="157">
        <f t="shared" si="17"/>
        <v>0</v>
      </c>
      <c r="K54" s="157">
        <f t="shared" si="17"/>
        <v>0</v>
      </c>
      <c r="L54" s="157">
        <f t="shared" si="17"/>
        <v>0</v>
      </c>
      <c r="M54" s="157">
        <f t="shared" si="17"/>
        <v>0</v>
      </c>
      <c r="N54" s="157">
        <f t="shared" si="17"/>
        <v>0</v>
      </c>
      <c r="O54" s="157">
        <f t="shared" si="17"/>
        <v>16.869000116239338</v>
      </c>
      <c r="P54" s="157">
        <f t="shared" si="17"/>
        <v>17.707894714646638</v>
      </c>
      <c r="Q54" s="157">
        <f xml:space="preserve"> Q$51</f>
        <v>18.749641558340649</v>
      </c>
      <c r="R54" s="157">
        <f t="shared" si="17"/>
        <v>21.172820347486478</v>
      </c>
      <c r="S54" s="157">
        <f t="shared" si="17"/>
        <v>21.067262251797267</v>
      </c>
      <c r="T54" s="157">
        <f t="shared" si="17"/>
        <v>21.067262251797267</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4.9729953917050373E-2</v>
      </c>
      <c r="Q55" s="200">
        <f xml:space="preserve"> IF( P54 = 0, 0, Q54 / P54 - 1 )</f>
        <v>5.8829514207149325E-2</v>
      </c>
      <c r="R55" s="200">
        <f t="shared" si="18"/>
        <v>0.12923867272907397</v>
      </c>
      <c r="S55" s="200">
        <f t="shared" si="18"/>
        <v>-4.9855472231286058E-3</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4.9729953917050373E-2</v>
      </c>
      <c r="Q60" s="97">
        <f t="shared" si="21"/>
        <v>5.8829514207149325E-2</v>
      </c>
      <c r="R60" s="97">
        <f t="shared" si="21"/>
        <v>0.12923867272907397</v>
      </c>
      <c r="S60" s="97">
        <f t="shared" si="21"/>
        <v>-4.9855472231286058E-3</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3.9238672729073887E-2</v>
      </c>
      <c r="S63" s="200">
        <f t="shared" si="23"/>
        <v>-4.9855472231286058E-3</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3.9238672729073887E-2</v>
      </c>
      <c r="S65" s="97">
        <f t="shared" si="24"/>
        <v>-4.9855472231286058E-3</v>
      </c>
      <c r="T65" s="97">
        <f t="shared" si="24"/>
        <v>0</v>
      </c>
    </row>
    <row r="66" spans="1:20" s="157" customFormat="1">
      <c r="A66" s="158"/>
      <c r="B66" s="159"/>
      <c r="E66" s="324" t="s">
        <v>715</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4.4199999999999899E-2</v>
      </c>
      <c r="Q66" s="271">
        <f>IF(Q58&lt;&gt;0,IF(Q65&gt;=0,ROUNDUP(ROUNDDOWN(Q65,5),4),ROUNDDOWN(ROUNDUP(Q65,5),4)),Q28)</f>
        <v>1.3000000000000001E-2</v>
      </c>
      <c r="R66" s="271">
        <f t="shared" si="25"/>
        <v>3.9300000000000002E-2</v>
      </c>
      <c r="S66" s="271">
        <f t="shared" si="25"/>
        <v>-4.8999999999999998E-3</v>
      </c>
      <c r="T66" s="271">
        <f t="shared" si="25"/>
        <v>0</v>
      </c>
    </row>
    <row r="67" spans="1:20" s="181" customFormat="1">
      <c r="A67" s="179"/>
      <c r="B67" s="180"/>
      <c r="E67" s="325" t="s">
        <v>715</v>
      </c>
      <c r="G67" s="227" t="s">
        <v>553</v>
      </c>
      <c r="J67" s="181">
        <f>J66*100</f>
        <v>0</v>
      </c>
      <c r="K67" s="181">
        <f t="shared" ref="K67:T67" si="26">K66*100</f>
        <v>0</v>
      </c>
      <c r="L67" s="181">
        <f t="shared" si="26"/>
        <v>0</v>
      </c>
      <c r="M67" s="181">
        <f t="shared" si="26"/>
        <v>0</v>
      </c>
      <c r="N67" s="181">
        <f t="shared" si="26"/>
        <v>0</v>
      </c>
      <c r="O67" s="181">
        <f t="shared" si="26"/>
        <v>0</v>
      </c>
      <c r="P67" s="181">
        <f t="shared" si="26"/>
        <v>4.4199999999999902</v>
      </c>
      <c r="Q67" s="181">
        <f t="shared" si="26"/>
        <v>1.3</v>
      </c>
      <c r="R67" s="181">
        <f t="shared" si="26"/>
        <v>3.93</v>
      </c>
      <c r="S67" s="181">
        <f t="shared" si="26"/>
        <v>-0.49</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-1.5308717519835683E-2</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-1.5308717519835683E-2</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700</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2.62804816808374</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2.62804816808374</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1.5</v>
      </c>
      <c r="Q27" s="305">
        <f xml:space="preserve"> InpActive!Q$114</f>
        <v>-0.82</v>
      </c>
      <c r="R27" s="305">
        <f xml:space="preserve"> InpActive!R$114</f>
        <v>13.05</v>
      </c>
      <c r="S27" s="305">
        <f xml:space="preserve"> InpActive!S$114</f>
        <v>6.18</v>
      </c>
      <c r="T27" s="305">
        <f xml:space="preserve"> InpActive!T$114</f>
        <v>0</v>
      </c>
    </row>
    <row r="28" spans="1:16384">
      <c r="B28" s="99"/>
      <c r="E28" s="97" t="s">
        <v>701</v>
      </c>
      <c r="F28" s="97"/>
      <c r="G28" s="97" t="s">
        <v>552</v>
      </c>
      <c r="H28" s="97"/>
      <c r="I28" s="97"/>
      <c r="J28" s="97">
        <f>J27/100</f>
        <v>0</v>
      </c>
      <c r="K28" s="97">
        <f t="shared" ref="K28:T28" si="258">K27/100</f>
        <v>0</v>
      </c>
      <c r="L28" s="97">
        <f t="shared" si="258"/>
        <v>0</v>
      </c>
      <c r="M28" s="97">
        <f t="shared" si="258"/>
        <v>0</v>
      </c>
      <c r="N28" s="97">
        <f t="shared" si="258"/>
        <v>0</v>
      </c>
      <c r="O28" s="97">
        <f t="shared" si="258"/>
        <v>0</v>
      </c>
      <c r="P28" s="97">
        <f t="shared" si="258"/>
        <v>1.4999999999999999E-2</v>
      </c>
      <c r="Q28" s="97">
        <f t="shared" si="258"/>
        <v>-8.199999999999999E-3</v>
      </c>
      <c r="R28" s="97">
        <f t="shared" si="258"/>
        <v>0.1305</v>
      </c>
      <c r="S28" s="97">
        <f t="shared" si="258"/>
        <v>6.1799999999999994E-2</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702</v>
      </c>
      <c r="G30" s="157" t="s">
        <v>569</v>
      </c>
      <c r="H30" s="157">
        <f xml:space="preserve"> SUM( J30:T30 )</f>
        <v>18.982391051962871</v>
      </c>
      <c r="J30" s="157">
        <f t="shared" ref="J30:T30" si="259" xml:space="preserve"> IF(J26=1, $H25 * (1+J29+J28), I30 *  (1+J29+J28))</f>
        <v>0</v>
      </c>
      <c r="K30" s="157">
        <f t="shared" si="259"/>
        <v>0</v>
      </c>
      <c r="L30" s="157">
        <f t="shared" si="259"/>
        <v>0</v>
      </c>
      <c r="M30" s="157">
        <f t="shared" si="259"/>
        <v>0</v>
      </c>
      <c r="N30" s="157">
        <f t="shared" si="259"/>
        <v>0</v>
      </c>
      <c r="O30" s="157">
        <f t="shared" si="259"/>
        <v>2.6673828459970608</v>
      </c>
      <c r="P30" s="157">
        <f t="shared" si="259"/>
        <v>2.7221440929045113</v>
      </c>
      <c r="Q30" s="157">
        <f t="shared" si="259"/>
        <v>2.8245770527223697</v>
      </c>
      <c r="R30" s="157">
        <f t="shared" si="259"/>
        <v>3.4473962928476527</v>
      </c>
      <c r="S30" s="157">
        <f t="shared" si="259"/>
        <v>3.6604453837456381</v>
      </c>
      <c r="T30" s="157">
        <f t="shared" si="259"/>
        <v>3.6604453837456381</v>
      </c>
    </row>
    <row r="31" spans="1:16384">
      <c r="B31" s="99"/>
      <c r="E31" s="93"/>
    </row>
    <row r="32" spans="1:16384" s="157" customFormat="1">
      <c r="A32" s="158"/>
      <c r="B32" s="159" t="s">
        <v>703</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-1.5308717519835683E-2</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-1.8702651171163497E-2</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-1.8702651171163497E-2</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-1.8702651171163497E-2</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-1.8702651171163497E-2</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707</v>
      </c>
      <c r="G43" s="157" t="s">
        <v>569</v>
      </c>
      <c r="H43" s="157">
        <f xml:space="preserve"> SUM( J43:T43 )</f>
        <v>-6.2342170570544976E-3</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-6.2342170570544976E-3</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-1.8702651171163497E-2</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-1.8702651171163497E-2</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-6.2342170570544976E-3</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-6.2342170570544976E-3</v>
      </c>
      <c r="S46" s="165">
        <f t="shared" si="267"/>
        <v>0</v>
      </c>
      <c r="T46" s="165">
        <f t="shared" si="267"/>
        <v>0</v>
      </c>
    </row>
    <row r="47" spans="1:20" s="157" customFormat="1">
      <c r="A47" s="158"/>
      <c r="B47" s="159"/>
      <c r="C47" s="160"/>
      <c r="E47" s="157" t="s">
        <v>708</v>
      </c>
      <c r="G47" s="157" t="s">
        <v>569</v>
      </c>
      <c r="H47" s="165">
        <f xml:space="preserve"> H45 + H46</f>
        <v>-2.4936868228217994E-2</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-2.4936868228217994E-2</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18.982391051962871</v>
      </c>
      <c r="I49" s="157">
        <f t="shared" si="269"/>
        <v>0</v>
      </c>
      <c r="J49" s="165">
        <f t="shared" si="269"/>
        <v>0</v>
      </c>
      <c r="K49" s="165">
        <f t="shared" si="269"/>
        <v>0</v>
      </c>
      <c r="L49" s="165">
        <f t="shared" si="269"/>
        <v>0</v>
      </c>
      <c r="M49" s="165">
        <f t="shared" si="269"/>
        <v>0</v>
      </c>
      <c r="N49" s="165">
        <f t="shared" si="269"/>
        <v>0</v>
      </c>
      <c r="O49" s="165">
        <f t="shared" si="269"/>
        <v>2.6673828459970608</v>
      </c>
      <c r="P49" s="165">
        <f t="shared" si="269"/>
        <v>2.7221440929045113</v>
      </c>
      <c r="Q49" s="165">
        <f t="shared" si="269"/>
        <v>2.8245770527223697</v>
      </c>
      <c r="R49" s="165">
        <f t="shared" si="269"/>
        <v>3.4473962928476527</v>
      </c>
      <c r="S49" s="165">
        <f t="shared" si="269"/>
        <v>3.6604453837456381</v>
      </c>
      <c r="T49" s="165">
        <f t="shared" si="269"/>
        <v>3.6604453837456381</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-2.4936868228217994E-2</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-2.4936868228217994E-2</v>
      </c>
      <c r="S50" s="165">
        <f t="shared" si="270"/>
        <v>0</v>
      </c>
      <c r="T50" s="165">
        <f t="shared" si="270"/>
        <v>0</v>
      </c>
    </row>
    <row r="51" spans="1:20" s="157" customFormat="1">
      <c r="A51" s="158"/>
      <c r="B51" s="159"/>
      <c r="C51" s="160"/>
      <c r="E51" s="157" t="s">
        <v>709</v>
      </c>
      <c r="G51" s="157" t="s">
        <v>569</v>
      </c>
      <c r="H51" s="157">
        <f xml:space="preserve"> SUM( J51:T51 )</f>
        <v>18.957454183734654</v>
      </c>
      <c r="J51" s="165">
        <f xml:space="preserve"> J49 + J50</f>
        <v>0</v>
      </c>
      <c r="K51" s="165">
        <f t="shared" ref="K51:T51" si="271" xml:space="preserve"> K49 + K50</f>
        <v>0</v>
      </c>
      <c r="L51" s="165">
        <f t="shared" si="271"/>
        <v>0</v>
      </c>
      <c r="M51" s="165">
        <f t="shared" si="271"/>
        <v>0</v>
      </c>
      <c r="N51" s="165">
        <f t="shared" si="271"/>
        <v>0</v>
      </c>
      <c r="O51" s="165">
        <f t="shared" si="271"/>
        <v>2.6673828459970608</v>
      </c>
      <c r="P51" s="165">
        <f t="shared" si="271"/>
        <v>2.7221440929045113</v>
      </c>
      <c r="Q51" s="165">
        <f t="shared" si="271"/>
        <v>2.8245770527223697</v>
      </c>
      <c r="R51" s="165">
        <f t="shared" si="271"/>
        <v>3.4224594246194346</v>
      </c>
      <c r="S51" s="165">
        <f t="shared" si="271"/>
        <v>3.6604453837456381</v>
      </c>
      <c r="T51" s="165">
        <f t="shared" si="271"/>
        <v>3.6604453837456381</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18.957454183734654</v>
      </c>
      <c r="I54" s="157">
        <f t="shared" si="272"/>
        <v>0</v>
      </c>
      <c r="J54" s="157">
        <f t="shared" si="272"/>
        <v>0</v>
      </c>
      <c r="K54" s="157">
        <f t="shared" si="272"/>
        <v>0</v>
      </c>
      <c r="L54" s="157">
        <f t="shared" si="272"/>
        <v>0</v>
      </c>
      <c r="M54" s="157">
        <f t="shared" si="272"/>
        <v>0</v>
      </c>
      <c r="N54" s="157">
        <f t="shared" si="272"/>
        <v>0</v>
      </c>
      <c r="O54" s="157">
        <f t="shared" si="272"/>
        <v>2.6673828459970608</v>
      </c>
      <c r="P54" s="157">
        <f t="shared" si="272"/>
        <v>2.7221440929045113</v>
      </c>
      <c r="Q54" s="157">
        <f t="shared" si="272"/>
        <v>2.8245770527223697</v>
      </c>
      <c r="R54" s="157">
        <f t="shared" si="272"/>
        <v>3.4224594246194346</v>
      </c>
      <c r="S54" s="157">
        <f t="shared" si="272"/>
        <v>3.6604453837456381</v>
      </c>
      <c r="T54" s="157">
        <f t="shared" si="272"/>
        <v>3.6604453837456381</v>
      </c>
    </row>
    <row r="55" spans="1:20" s="157" customFormat="1">
      <c r="A55" s="158"/>
      <c r="B55" s="166"/>
      <c r="C55" s="160"/>
      <c r="E55" s="167" t="s">
        <v>711</v>
      </c>
      <c r="F55" s="168"/>
      <c r="G55" s="167" t="s">
        <v>552</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2.0529953917050481E-2</v>
      </c>
      <c r="Q55" s="200">
        <f t="shared" si="273"/>
        <v>3.7629514207149439E-2</v>
      </c>
      <c r="R55" s="200">
        <f t="shared" si="273"/>
        <v>0.21167146823656902</v>
      </c>
      <c r="S55" s="200">
        <f t="shared" si="273"/>
        <v>6.9536531949583757E-2</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712</v>
      </c>
      <c r="F58" s="362"/>
      <c r="G58" s="361" t="s">
        <v>610</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1</v>
      </c>
      <c r="S58" s="363">
        <f t="shared" si="275"/>
        <v>1</v>
      </c>
      <c r="T58" s="363">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2.0529953917050481E-2</v>
      </c>
      <c r="Q60" s="97">
        <f t="shared" si="276"/>
        <v>3.7629514207149439E-2</v>
      </c>
      <c r="R60" s="97">
        <f t="shared" si="276"/>
        <v>0.21167146823656902</v>
      </c>
      <c r="S60" s="97">
        <f t="shared" si="276"/>
        <v>6.9536531949583757E-2</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c r="A63" s="169"/>
      <c r="B63" s="159"/>
      <c r="E63" s="167" t="s">
        <v>713</v>
      </c>
      <c r="F63" s="168"/>
      <c r="G63" s="167" t="s">
        <v>552</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0.12167146823656894</v>
      </c>
      <c r="S63" s="200">
        <f t="shared" si="278"/>
        <v>6.9536531949583757E-2</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0.12167146823656894</v>
      </c>
      <c r="S65" s="97">
        <f t="shared" si="279"/>
        <v>6.9536531949583757E-2</v>
      </c>
      <c r="T65" s="97">
        <f t="shared" si="279"/>
        <v>0</v>
      </c>
    </row>
    <row r="66" spans="1:20" s="157" customFormat="1">
      <c r="A66" s="158"/>
      <c r="B66" s="159"/>
      <c r="E66" s="324" t="s">
        <v>716</v>
      </c>
      <c r="G66" s="165" t="s">
        <v>552</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1.4999999999999999E-2</v>
      </c>
      <c r="Q66" s="271">
        <f t="shared" si="280"/>
        <v>-8.199999999999999E-3</v>
      </c>
      <c r="R66" s="271">
        <f t="shared" si="280"/>
        <v>0.1217</v>
      </c>
      <c r="S66" s="271">
        <f t="shared" si="280"/>
        <v>6.9600000000000009E-2</v>
      </c>
      <c r="T66" s="271">
        <f t="shared" si="280"/>
        <v>0</v>
      </c>
    </row>
    <row r="67" spans="1:20" s="170" customFormat="1">
      <c r="A67" s="169"/>
      <c r="B67" s="159"/>
      <c r="E67" s="325" t="s">
        <v>716</v>
      </c>
      <c r="G67" s="171" t="s">
        <v>553</v>
      </c>
      <c r="J67" s="181">
        <f>J66*100</f>
        <v>0</v>
      </c>
      <c r="K67" s="181">
        <f t="shared" ref="K67:T67" si="281">K66*100</f>
        <v>0</v>
      </c>
      <c r="L67" s="181">
        <f t="shared" si="281"/>
        <v>0</v>
      </c>
      <c r="M67" s="181">
        <f t="shared" si="281"/>
        <v>0</v>
      </c>
      <c r="N67" s="181">
        <f t="shared" si="281"/>
        <v>0</v>
      </c>
      <c r="O67" s="181">
        <f t="shared" si="281"/>
        <v>0</v>
      </c>
      <c r="P67" s="181">
        <f t="shared" si="281"/>
        <v>1.5</v>
      </c>
      <c r="Q67" s="181">
        <f t="shared" si="281"/>
        <v>-0.81999999999999984</v>
      </c>
      <c r="R67" s="181">
        <f t="shared" si="281"/>
        <v>12.17</v>
      </c>
      <c r="S67" s="181">
        <f t="shared" si="281"/>
        <v>6.9600000000000009</v>
      </c>
      <c r="T67" s="181">
        <f t="shared" si="281"/>
        <v>0</v>
      </c>
    </row>
    <row r="68" spans="1:20">
      <c r="B68" s="99"/>
      <c r="E68" s="93"/>
    </row>
    <row r="69" spans="1:20" s="212" customFormat="1" ht="13.5">
      <c r="A69" s="212" t="s">
        <v>511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706</v>
      </c>
      <c r="G31" s="90"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717</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v>
      </c>
      <c r="S44" s="324">
        <f t="shared" si="14"/>
        <v>0</v>
      </c>
      <c r="T44" s="324">
        <f t="shared" si="14"/>
        <v>0</v>
      </c>
    </row>
    <row r="45" spans="1:20" s="157" customFormat="1">
      <c r="A45" s="158"/>
      <c r="B45" s="159"/>
      <c r="C45" s="160"/>
    </row>
    <row r="46" spans="1:20" s="157" customFormat="1">
      <c r="A46" s="158"/>
      <c r="B46" s="328" t="s">
        <v>718</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0.76106190516839001</v>
      </c>
      <c r="Q47" s="305">
        <f>InpActive!Q117</f>
        <v>0.76857260337977495</v>
      </c>
      <c r="R47" s="305">
        <f>InpActive!R117</f>
        <v>0.77608316916113596</v>
      </c>
      <c r="S47" s="305">
        <f>InpActive!S117</f>
        <v>0.78359348722960698</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v>
      </c>
      <c r="S48" s="301">
        <f t="shared" si="15"/>
        <v>0</v>
      </c>
      <c r="T48" s="301">
        <f t="shared" si="15"/>
        <v>0</v>
      </c>
    </row>
    <row r="49" spans="1:20" s="181" customFormat="1">
      <c r="A49" s="179"/>
      <c r="B49" s="180"/>
      <c r="E49" s="329" t="s">
        <v>719</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0.76106190516839001</v>
      </c>
      <c r="Q49" s="329">
        <f>Q47+Q48</f>
        <v>0.76857260337977495</v>
      </c>
      <c r="R49" s="329">
        <f t="shared" si="16"/>
        <v>0.77608316916113596</v>
      </c>
      <c r="S49" s="329">
        <f t="shared" si="16"/>
        <v>0.78359348722960698</v>
      </c>
      <c r="T49" s="329">
        <f t="shared" si="16"/>
        <v>0</v>
      </c>
    </row>
    <row r="50" spans="1:20">
      <c r="B50" s="99"/>
      <c r="E50" s="93"/>
      <c r="H50" s="90"/>
      <c r="I50" s="90"/>
    </row>
    <row r="51" spans="1:20" s="212" customFormat="1" ht="13.5">
      <c r="A51" s="212" t="s">
        <v>511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-4.4856813163425789E-3</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-4.4856813163425789E-3</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-4.4856813163425789E-3</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-5.4801542203556991E-3</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-5.4801542203556991E-3</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-1.8267180734518993E-3</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-1.8267180734518993E-3</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-5.4801542203556991E-3</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-1.8267180734518993E-3</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-1.8267180734518993E-3</v>
      </c>
      <c r="S38" s="157">
        <f t="shared" si="10"/>
        <v>0</v>
      </c>
      <c r="T38" s="157">
        <f t="shared" si="10"/>
        <v>0</v>
      </c>
    </row>
    <row r="39" spans="1:20" s="157" customFormat="1">
      <c r="A39" s="158"/>
      <c r="B39" s="159"/>
      <c r="C39" s="160"/>
      <c r="E39" s="157" t="s">
        <v>708</v>
      </c>
      <c r="G39" s="157" t="s">
        <v>569</v>
      </c>
      <c r="H39" s="157">
        <f xml:space="preserve"> SUM( J39:T39 )</f>
        <v>-7.3068722938075988E-3</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-7.3068722938075988E-3</v>
      </c>
      <c r="S39" s="165">
        <f t="shared" si="11"/>
        <v>0</v>
      </c>
      <c r="T39" s="165">
        <f t="shared" si="11"/>
        <v>0</v>
      </c>
    </row>
    <row r="40" spans="1:20">
      <c r="B40" s="99"/>
      <c r="E40" s="93"/>
      <c r="H40" s="90"/>
      <c r="I40" s="90"/>
    </row>
    <row r="41" spans="1:20">
      <c r="B41" s="99" t="s">
        <v>720</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2.8614136733599498</v>
      </c>
      <c r="Q42" s="305">
        <f>InpActive!Q120</f>
        <v>2.8941410726455299</v>
      </c>
      <c r="R42" s="305">
        <f>InpActive!R120</f>
        <v>2.91717546677509</v>
      </c>
      <c r="S42" s="305">
        <f>InpActive!S120</f>
        <v>2.9422311764084998</v>
      </c>
      <c r="T42" s="305">
        <f>InpActive!T120</f>
        <v>0</v>
      </c>
    </row>
    <row r="43" spans="1:20">
      <c r="B43" s="99"/>
      <c r="E43" s="301" t="str">
        <f>E39</f>
        <v xml:space="preserve">Total value of ODI </v>
      </c>
      <c r="F43" s="301">
        <f t="shared" ref="F43:T43" si="12">F39</f>
        <v>0</v>
      </c>
      <c r="G43" s="301" t="str">
        <f t="shared" si="12"/>
        <v>£m (nominal)</v>
      </c>
      <c r="H43" s="301">
        <f t="shared" si="12"/>
        <v>-7.3068722938075988E-3</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-7.3068722938075988E-3</v>
      </c>
      <c r="S43" s="301">
        <f t="shared" si="12"/>
        <v>0</v>
      </c>
      <c r="T43" s="301">
        <f t="shared" si="12"/>
        <v>0</v>
      </c>
    </row>
    <row r="44" spans="1:20" s="58" customFormat="1">
      <c r="A44" s="143"/>
      <c r="B44" s="144"/>
      <c r="C44" s="145"/>
      <c r="D44" s="111"/>
      <c r="E44" s="181" t="s">
        <v>721</v>
      </c>
      <c r="F44" s="181"/>
      <c r="G44" s="181" t="s">
        <v>569</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2.8614136733599498</v>
      </c>
      <c r="Q44" s="329">
        <f t="shared" si="13"/>
        <v>2.8941410726455299</v>
      </c>
      <c r="R44" s="329">
        <f t="shared" si="13"/>
        <v>2.9098685944812823</v>
      </c>
      <c r="S44" s="329">
        <f t="shared" si="13"/>
        <v>2.9422311764084998</v>
      </c>
      <c r="T44" s="329">
        <f t="shared" si="13"/>
        <v>0</v>
      </c>
    </row>
    <row r="45" spans="1:20">
      <c r="B45" s="99"/>
      <c r="E45" s="93"/>
      <c r="H45" s="90"/>
      <c r="I45" s="90"/>
    </row>
    <row r="46" spans="1:20" s="212" customFormat="1" ht="13.5">
      <c r="A46" s="212" t="s">
        <v>511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-1.77E-2</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-1.77E-2</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-1.77E-2</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-2.1624079567779959E-2</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-2.1624079567779959E-2</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-7.2080265225933178E-3</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-7.2080265225933178E-3</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-2.1624079567779959E-2</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-7.2080265225933178E-3</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-7.2080265225933178E-3</v>
      </c>
      <c r="S38" s="157">
        <f t="shared" si="10"/>
        <v>0</v>
      </c>
      <c r="T38" s="157">
        <f t="shared" si="10"/>
        <v>0</v>
      </c>
    </row>
    <row r="39" spans="1:20" s="157" customFormat="1">
      <c r="A39" s="158"/>
      <c r="B39" s="159"/>
      <c r="C39" s="160"/>
      <c r="E39" s="157" t="s">
        <v>708</v>
      </c>
      <c r="G39" s="157" t="s">
        <v>569</v>
      </c>
      <c r="H39" s="157">
        <f xml:space="preserve"> SUM( J39:T39 )</f>
        <v>-2.8832106090373278E-2</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-2.8832106090373278E-2</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0.83145540551152597</v>
      </c>
      <c r="R41" s="308">
        <f xml:space="preserve"> InpActive!R137</f>
        <v>0.830645898470455</v>
      </c>
      <c r="S41" s="308">
        <f xml:space="preserve"> InpActive!S137</f>
        <v>0.82988346798289803</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4.9930677612477201E-2</v>
      </c>
      <c r="R42" s="308">
        <f xml:space="preserve"> InpActive!R138</f>
        <v>5.0210883159421502E-2</v>
      </c>
      <c r="S42" s="308">
        <f xml:space="preserve"> InpActive!S138</f>
        <v>5.0363109437463999E-2</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0.104749441585418</v>
      </c>
      <c r="R44" s="308">
        <f xml:space="preserve"> InpActive!R140</f>
        <v>0.10508650122248001</v>
      </c>
      <c r="S44" s="308">
        <f xml:space="preserve"> InpActive!S140</f>
        <v>0.105499510367024</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1.3702745616307899E-2</v>
      </c>
      <c r="R45" s="308">
        <f xml:space="preserve"> InpActive!R141</f>
        <v>1.38967118203103E-2</v>
      </c>
      <c r="S45" s="308">
        <f xml:space="preserve"> InpActive!S141</f>
        <v>1.40796435098746E-2</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1.6172967427065599E-4</v>
      </c>
      <c r="R46" s="308">
        <f xml:space="preserve"> InpActive!R142</f>
        <v>1.6000532733344099E-4</v>
      </c>
      <c r="S46" s="308">
        <f xml:space="preserve"> InpActive!S142</f>
        <v>1.7426870273814301E-4</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-2.8832106090373278E-2</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-2.8832106090373278E-2</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722</v>
      </c>
      <c r="G50" s="157" t="s">
        <v>569</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-2.3949270668233588E-2</v>
      </c>
      <c r="S50" s="157">
        <f t="shared" si="14"/>
        <v>0</v>
      </c>
      <c r="T50" s="157">
        <f t="shared" si="14"/>
        <v>0</v>
      </c>
    </row>
    <row r="51" spans="1:20" s="157" customFormat="1">
      <c r="A51" s="158"/>
      <c r="B51" s="159"/>
      <c r="C51" s="160"/>
      <c r="E51" s="157" t="s">
        <v>723</v>
      </c>
      <c r="G51" s="157" t="s">
        <v>569</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-1.4476855101437777E-3</v>
      </c>
      <c r="S51" s="157">
        <f t="shared" si="15"/>
        <v>0</v>
      </c>
      <c r="T51" s="157">
        <f t="shared" si="15"/>
        <v>0</v>
      </c>
    </row>
    <row r="52" spans="1:20" s="157" customFormat="1">
      <c r="A52" s="158"/>
      <c r="B52" s="159"/>
      <c r="C52" s="160"/>
      <c r="E52" s="157" t="s">
        <v>724</v>
      </c>
      <c r="G52" s="157" t="s">
        <v>569</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725</v>
      </c>
      <c r="G53" s="157" t="s">
        <v>569</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-3.0298651519126848E-3</v>
      </c>
      <c r="S53" s="157">
        <f t="shared" si="17"/>
        <v>0</v>
      </c>
      <c r="T53" s="157">
        <f t="shared" si="17"/>
        <v>0</v>
      </c>
    </row>
    <row r="54" spans="1:20" s="157" customFormat="1">
      <c r="A54" s="158"/>
      <c r="B54" s="159"/>
      <c r="C54" s="160"/>
      <c r="E54" s="157" t="s">
        <v>726</v>
      </c>
      <c r="G54" s="157" t="s">
        <v>569</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-4.0067146951053089E-4</v>
      </c>
      <c r="S54" s="157">
        <f t="shared" si="18"/>
        <v>0</v>
      </c>
      <c r="T54" s="157">
        <f t="shared" si="18"/>
        <v>0</v>
      </c>
    </row>
    <row r="55" spans="1:20" s="157" customFormat="1">
      <c r="A55" s="158"/>
      <c r="B55" s="159"/>
      <c r="C55" s="160"/>
      <c r="E55" s="157" t="s">
        <v>727</v>
      </c>
      <c r="G55" s="157" t="s">
        <v>569</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-4.6132905727026736E-6</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48.773120224721602</v>
      </c>
      <c r="R57" s="305">
        <f xml:space="preserve"> InpActive!R123</f>
        <v>51.891575217186698</v>
      </c>
      <c r="S57" s="305">
        <f xml:space="preserve"> InpActive!S123</f>
        <v>52.558561879673199</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169.42798250839101</v>
      </c>
      <c r="R58" s="305">
        <f xml:space="preserve"> InpActive!R124</f>
        <v>184.448031563591</v>
      </c>
      <c r="S58" s="305">
        <f xml:space="preserve"> InpActive!S124</f>
        <v>187.96881536225899</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42.656927278692699</v>
      </c>
      <c r="R60" s="305">
        <f xml:space="preserve"> InpActive!R126</f>
        <v>45.0788803712583</v>
      </c>
      <c r="S60" s="305">
        <f xml:space="preserve"> InpActive!S126</f>
        <v>45.090559205572802</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182.653316580244</v>
      </c>
      <c r="R61" s="305">
        <f xml:space="preserve"> InpActive!R127</f>
        <v>199.48476856833901</v>
      </c>
      <c r="S61" s="305">
        <f xml:space="preserve"> InpActive!S127</f>
        <v>203.83556133843501</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59.088219345517302</v>
      </c>
      <c r="R62" s="305">
        <f xml:space="preserve"> InpActive!R128</f>
        <v>63.248575870313701</v>
      </c>
      <c r="S62" s="305">
        <f xml:space="preserve"> InpActive!S128</f>
        <v>64.203218270057903</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7047</v>
      </c>
      <c r="R64" s="326">
        <f xml:space="preserve"> InpActive!R130</f>
        <v>7066</v>
      </c>
      <c r="S64" s="326">
        <f xml:space="preserve"> InpActive!S130</f>
        <v>7086</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85</v>
      </c>
      <c r="R65" s="326">
        <f xml:space="preserve"> InpActive!R131</f>
        <v>85</v>
      </c>
      <c r="S65" s="326">
        <f xml:space="preserve"> InpActive!S131</f>
        <v>85</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920</v>
      </c>
      <c r="R67" s="326">
        <f xml:space="preserve"> InpActive!R133</f>
        <v>933</v>
      </c>
      <c r="S67" s="326">
        <f xml:space="preserve"> InpActive!S133</f>
        <v>948</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22</v>
      </c>
      <c r="R68" s="326">
        <f xml:space="preserve"> InpActive!R134</f>
        <v>22</v>
      </c>
      <c r="S68" s="326">
        <f xml:space="preserve"> InpActive!S134</f>
        <v>22</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1</v>
      </c>
      <c r="R69" s="326">
        <f xml:space="preserve"> InpActive!R135</f>
        <v>1</v>
      </c>
      <c r="S69" s="326">
        <f xml:space="preserve"> InpActive!S135</f>
        <v>1</v>
      </c>
      <c r="T69" s="326">
        <f xml:space="preserve"> InpActive!T135</f>
        <v>0</v>
      </c>
    </row>
    <row r="70" spans="1:20" s="157" customFormat="1">
      <c r="A70" s="158"/>
      <c r="B70" s="159"/>
      <c r="C70" s="160"/>
    </row>
    <row r="71" spans="1:20" s="157" customFormat="1">
      <c r="A71" s="158"/>
      <c r="B71" s="159"/>
      <c r="C71" s="160"/>
      <c r="E71" s="157" t="s">
        <v>728</v>
      </c>
      <c r="G71" s="157" t="s">
        <v>569</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0.3437041782236131</v>
      </c>
      <c r="R71" s="157">
        <f t="shared" si="21"/>
        <v>0.36666587048464122</v>
      </c>
      <c r="S71" s="157">
        <f t="shared" si="21"/>
        <v>0.3724299694793643</v>
      </c>
      <c r="T71" s="157">
        <f t="shared" si="21"/>
        <v>0</v>
      </c>
    </row>
    <row r="72" spans="1:20" s="157" customFormat="1">
      <c r="A72" s="158"/>
      <c r="B72" s="159"/>
      <c r="C72" s="160"/>
      <c r="E72" s="157" t="s">
        <v>729</v>
      </c>
      <c r="G72" s="157" t="s">
        <v>569</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1.4401378513213237E-2</v>
      </c>
      <c r="R72" s="157">
        <f t="shared" si="22"/>
        <v>1.5678082682905235E-2</v>
      </c>
      <c r="S72" s="157">
        <f t="shared" si="22"/>
        <v>1.5977349305792015E-2</v>
      </c>
      <c r="T72" s="157">
        <f t="shared" si="22"/>
        <v>0</v>
      </c>
    </row>
    <row r="73" spans="1:20" s="157" customFormat="1">
      <c r="A73" s="158"/>
      <c r="B73" s="159"/>
      <c r="C73" s="160"/>
      <c r="E73" s="157" t="s">
        <v>730</v>
      </c>
      <c r="G73" s="157" t="s">
        <v>569</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731</v>
      </c>
      <c r="G74" s="157" t="s">
        <v>569</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3.9244373096397285E-2</v>
      </c>
      <c r="R74" s="157">
        <f t="shared" si="24"/>
        <v>4.2058595386383998E-2</v>
      </c>
      <c r="S74" s="157">
        <f t="shared" si="24"/>
        <v>4.2745850126883013E-2</v>
      </c>
      <c r="T74" s="157">
        <f t="shared" si="24"/>
        <v>0</v>
      </c>
    </row>
    <row r="75" spans="1:20" s="157" customFormat="1">
      <c r="A75" s="158"/>
      <c r="B75" s="159"/>
      <c r="C75" s="160"/>
      <c r="E75" s="157" t="s">
        <v>732</v>
      </c>
      <c r="G75" s="157" t="s">
        <v>569</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4.0183729647653684E-3</v>
      </c>
      <c r="R75" s="157">
        <f t="shared" si="25"/>
        <v>4.3886649085034578E-3</v>
      </c>
      <c r="S75" s="157">
        <f t="shared" si="25"/>
        <v>4.48438234944557E-3</v>
      </c>
      <c r="T75" s="157">
        <f t="shared" si="25"/>
        <v>0</v>
      </c>
    </row>
    <row r="76" spans="1:20" s="157" customFormat="1">
      <c r="A76" s="158"/>
      <c r="B76" s="159"/>
      <c r="C76" s="160"/>
      <c r="E76" s="157" t="s">
        <v>733</v>
      </c>
      <c r="G76" s="157" t="s">
        <v>569</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5.9088219345517302E-5</v>
      </c>
      <c r="R76" s="157">
        <f t="shared" si="26"/>
        <v>6.3248575870313703E-5</v>
      </c>
      <c r="S76" s="157">
        <f t="shared" si="26"/>
        <v>6.4203218270057907E-5</v>
      </c>
      <c r="T76" s="157">
        <f t="shared" si="26"/>
        <v>0</v>
      </c>
    </row>
    <row r="77" spans="1:20" s="157" customFormat="1">
      <c r="A77" s="158"/>
      <c r="B77" s="159"/>
      <c r="C77" s="160"/>
    </row>
    <row r="78" spans="1:20" s="157" customFormat="1">
      <c r="A78" s="158"/>
      <c r="B78" s="159"/>
      <c r="C78" s="160"/>
      <c r="E78" s="157" t="s">
        <v>734</v>
      </c>
      <c r="G78" s="157" t="s">
        <v>569</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0.3437041782236131</v>
      </c>
      <c r="R78" s="157">
        <f t="shared" si="28"/>
        <v>0.34271659981640762</v>
      </c>
      <c r="S78" s="157">
        <f t="shared" si="28"/>
        <v>0.3724299694793643</v>
      </c>
      <c r="T78" s="157">
        <f t="shared" si="28"/>
        <v>0</v>
      </c>
    </row>
    <row r="79" spans="1:20" s="157" customFormat="1">
      <c r="A79" s="158"/>
      <c r="B79" s="159"/>
      <c r="C79" s="160"/>
      <c r="E79" s="157" t="s">
        <v>735</v>
      </c>
      <c r="G79" s="157" t="s">
        <v>569</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1.4401378513213237E-2</v>
      </c>
      <c r="R79" s="157">
        <f t="shared" si="29"/>
        <v>1.4230397172761457E-2</v>
      </c>
      <c r="S79" s="157">
        <f t="shared" si="29"/>
        <v>1.5977349305792015E-2</v>
      </c>
      <c r="T79" s="157">
        <f t="shared" si="29"/>
        <v>0</v>
      </c>
    </row>
    <row r="80" spans="1:20" s="157" customFormat="1">
      <c r="A80" s="158"/>
      <c r="B80" s="159"/>
      <c r="C80" s="160"/>
      <c r="E80" s="157" t="s">
        <v>736</v>
      </c>
      <c r="G80" s="157" t="s">
        <v>569</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737</v>
      </c>
      <c r="G81" s="157" t="s">
        <v>569</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3.9244373096397285E-2</v>
      </c>
      <c r="R81" s="157">
        <f t="shared" si="31"/>
        <v>3.9028730234471315E-2</v>
      </c>
      <c r="S81" s="157">
        <f t="shared" si="31"/>
        <v>4.2745850126883013E-2</v>
      </c>
      <c r="T81" s="157">
        <f t="shared" si="31"/>
        <v>0</v>
      </c>
    </row>
    <row r="82" spans="1:20" s="157" customFormat="1">
      <c r="A82" s="158"/>
      <c r="B82" s="159"/>
      <c r="C82" s="160"/>
      <c r="E82" s="157" t="s">
        <v>738</v>
      </c>
      <c r="G82" s="157" t="s">
        <v>569</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4.0183729647653684E-3</v>
      </c>
      <c r="R82" s="157">
        <f t="shared" si="32"/>
        <v>3.9879934389929267E-3</v>
      </c>
      <c r="S82" s="157">
        <f t="shared" si="32"/>
        <v>4.48438234944557E-3</v>
      </c>
      <c r="T82" s="157">
        <f t="shared" si="32"/>
        <v>0</v>
      </c>
    </row>
    <row r="83" spans="1:20" s="157" customFormat="1">
      <c r="A83" s="158"/>
      <c r="B83" s="159"/>
      <c r="C83" s="160"/>
      <c r="E83" s="157" t="s">
        <v>739</v>
      </c>
      <c r="G83" s="157" t="s">
        <v>569</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5.9088219345517302E-5</v>
      </c>
      <c r="R83" s="157">
        <f t="shared" si="33"/>
        <v>5.8635285297611026E-5</v>
      </c>
      <c r="S83" s="157">
        <f t="shared" si="33"/>
        <v>6.4203218270057907E-5</v>
      </c>
      <c r="T83" s="157">
        <f t="shared" si="33"/>
        <v>0</v>
      </c>
    </row>
    <row r="84" spans="1:20" s="157" customFormat="1">
      <c r="A84" s="158"/>
      <c r="B84" s="159"/>
      <c r="C84" s="160"/>
    </row>
    <row r="85" spans="1:20" s="157" customFormat="1">
      <c r="A85" s="158"/>
      <c r="B85" s="159"/>
      <c r="C85" s="160"/>
      <c r="E85" s="157" t="s">
        <v>740</v>
      </c>
      <c r="G85" s="157" t="s">
        <v>570</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48.773120224721602</v>
      </c>
      <c r="R85" s="157">
        <f t="shared" si="35"/>
        <v>48.502207729466122</v>
      </c>
      <c r="S85" s="157">
        <f t="shared" si="35"/>
        <v>52.558561879673199</v>
      </c>
      <c r="T85" s="157">
        <f t="shared" si="35"/>
        <v>0</v>
      </c>
    </row>
    <row r="86" spans="1:20" s="157" customFormat="1">
      <c r="A86" s="158"/>
      <c r="B86" s="159"/>
      <c r="C86" s="160"/>
      <c r="E86" s="157" t="s">
        <v>741</v>
      </c>
      <c r="G86" s="157" t="s">
        <v>570</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169.42798250839101</v>
      </c>
      <c r="R86" s="157">
        <f t="shared" si="36"/>
        <v>167.41643732660538</v>
      </c>
      <c r="S86" s="157">
        <f t="shared" si="36"/>
        <v>187.96881536225899</v>
      </c>
      <c r="T86" s="157">
        <f t="shared" si="36"/>
        <v>0</v>
      </c>
    </row>
    <row r="87" spans="1:20" s="157" customFormat="1">
      <c r="A87" s="158"/>
      <c r="B87" s="159"/>
      <c r="C87" s="160"/>
      <c r="E87" s="157" t="s">
        <v>742</v>
      </c>
      <c r="G87" s="157" t="s">
        <v>570</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743</v>
      </c>
      <c r="G88" s="157" t="s">
        <v>570</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42.656927278692699</v>
      </c>
      <c r="R88" s="157">
        <f t="shared" si="38"/>
        <v>41.831436478533028</v>
      </c>
      <c r="S88" s="157">
        <f t="shared" si="38"/>
        <v>45.090559205572802</v>
      </c>
      <c r="T88" s="157">
        <f t="shared" si="38"/>
        <v>0</v>
      </c>
    </row>
    <row r="89" spans="1:20" s="157" customFormat="1">
      <c r="A89" s="158"/>
      <c r="B89" s="159"/>
      <c r="C89" s="160"/>
      <c r="E89" s="157" t="s">
        <v>744</v>
      </c>
      <c r="G89" s="157" t="s">
        <v>570</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182.65331658024402</v>
      </c>
      <c r="R89" s="157">
        <f t="shared" si="39"/>
        <v>181.27242904513304</v>
      </c>
      <c r="S89" s="157">
        <f t="shared" si="39"/>
        <v>203.83556133843501</v>
      </c>
      <c r="T89" s="157">
        <f t="shared" si="39"/>
        <v>0</v>
      </c>
    </row>
    <row r="90" spans="1:20" s="157" customFormat="1">
      <c r="A90" s="158"/>
      <c r="B90" s="159"/>
      <c r="C90" s="160"/>
      <c r="E90" s="157" t="s">
        <v>745</v>
      </c>
      <c r="G90" s="157" t="s">
        <v>570</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59.088219345517302</v>
      </c>
      <c r="R90" s="157">
        <f t="shared" si="40"/>
        <v>58.635285297611027</v>
      </c>
      <c r="S90" s="157">
        <f t="shared" si="40"/>
        <v>64.203218270057903</v>
      </c>
      <c r="T90" s="157">
        <f t="shared" si="40"/>
        <v>0</v>
      </c>
    </row>
    <row r="91" spans="1:20" s="157" customFormat="1">
      <c r="A91" s="158"/>
      <c r="B91" s="159"/>
      <c r="C91" s="160"/>
    </row>
    <row r="92" spans="1:20" s="157" customFormat="1">
      <c r="A92" s="158"/>
      <c r="B92" s="159" t="s">
        <v>746</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48.773120224721602</v>
      </c>
      <c r="R93" s="181">
        <f t="shared" si="41"/>
        <v>48.502207729466122</v>
      </c>
      <c r="S93" s="181">
        <f t="shared" si="41"/>
        <v>52.558561879673199</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169.42798250839101</v>
      </c>
      <c r="R94" s="181">
        <f t="shared" si="42"/>
        <v>167.41643732660538</v>
      </c>
      <c r="S94" s="181">
        <f t="shared" si="42"/>
        <v>187.96881536225899</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42.656927278692699</v>
      </c>
      <c r="R96" s="181">
        <f t="shared" si="42"/>
        <v>41.831436478533028</v>
      </c>
      <c r="S96" s="181">
        <f t="shared" si="42"/>
        <v>45.090559205572802</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182.65331658024402</v>
      </c>
      <c r="R97" s="181">
        <f t="shared" si="42"/>
        <v>181.27242904513304</v>
      </c>
      <c r="S97" s="181">
        <f t="shared" si="42"/>
        <v>203.83556133843501</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59.088219345517302</v>
      </c>
      <c r="R98" s="181">
        <f t="shared" si="42"/>
        <v>58.635285297611027</v>
      </c>
      <c r="S98" s="181">
        <f t="shared" si="42"/>
        <v>64.203218270057903</v>
      </c>
      <c r="T98" s="181">
        <f t="shared" si="42"/>
        <v>0</v>
      </c>
    </row>
    <row r="99" spans="1:20">
      <c r="B99" s="99"/>
      <c r="E99" s="93"/>
    </row>
    <row r="100" spans="1:20" s="212" customFormat="1" ht="13.5">
      <c r="A100" s="212" t="s">
        <v>511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701</v>
      </c>
      <c r="F28" s="97"/>
      <c r="G28" s="97" t="s">
        <v>552</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702</v>
      </c>
      <c r="F30" s="157"/>
      <c r="G30" s="157" t="s">
        <v>569</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703</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708</v>
      </c>
      <c r="G47" s="157" t="s">
        <v>569</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709</v>
      </c>
      <c r="G51" s="157" t="s">
        <v>569</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747</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747</v>
      </c>
      <c r="G67" s="171" t="s">
        <v>553</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Hafren Dyfrdwy</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748</v>
      </c>
    </row>
    <row r="8" spans="1:20"/>
    <row r="9" spans="1:20">
      <c r="C9" s="99" t="s">
        <v>749</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-5.24</v>
      </c>
      <c r="Q10" s="346">
        <f xml:space="preserve"> 'Water resources'!Q$67</f>
        <v>-38.75</v>
      </c>
      <c r="R10" s="346">
        <f xml:space="preserve"> 'Water resources'!R$67</f>
        <v>-7.7799999999999994</v>
      </c>
      <c r="S10" s="346">
        <f xml:space="preserve"> 'Water resources'!S$67</f>
        <v>23.14</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4.4199999999999902</v>
      </c>
      <c r="Q11" s="240">
        <f xml:space="preserve"> 'Water network plus'!Q$67</f>
        <v>1.3</v>
      </c>
      <c r="R11" s="240">
        <f xml:space="preserve"> 'Water network plus'!R$67</f>
        <v>3.93</v>
      </c>
      <c r="S11" s="240">
        <f xml:space="preserve"> 'Water network plus'!S$67</f>
        <v>-0.49</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1.5</v>
      </c>
      <c r="Q12" s="240">
        <f xml:space="preserve"> 'Wastewater network plus'!Q$67</f>
        <v>-0.81999999999999984</v>
      </c>
      <c r="R12" s="240">
        <f xml:space="preserve"> 'Wastewater network plus'!R$67</f>
        <v>12.17</v>
      </c>
      <c r="S12" s="240">
        <f xml:space="preserve"> 'Wastewater network plus'!S$67</f>
        <v>6.9600000000000009</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0.76106190516839001</v>
      </c>
      <c r="Q16" s="312">
        <f xml:space="preserve"> 'Bioresources (sludge)'!Q$49</f>
        <v>0.76857260337977495</v>
      </c>
      <c r="R16" s="312">
        <f xml:space="preserve"> 'Bioresources (sludge)'!R$49</f>
        <v>0.77608316916113596</v>
      </c>
      <c r="S16" s="312">
        <f xml:space="preserve"> 'Bioresources (sludge)'!S$49</f>
        <v>0.78359348722960698</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2.8614136733599498</v>
      </c>
      <c r="Q19" s="240">
        <f xml:space="preserve"> 'Residential retail'!Q$44</f>
        <v>2.8941410726455299</v>
      </c>
      <c r="R19" s="240">
        <f xml:space="preserve"> 'Residential retail'!R$44</f>
        <v>2.9098685944812823</v>
      </c>
      <c r="S19" s="240">
        <f xml:space="preserve"> 'Residential retail'!S$44</f>
        <v>2.9422311764084998</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48.773120224721602</v>
      </c>
      <c r="R22" s="211">
        <f xml:space="preserve"> 'Business retail'!R$93</f>
        <v>48.502207729466122</v>
      </c>
      <c r="S22" s="211">
        <f xml:space="preserve"> 'Business retail'!S$93</f>
        <v>52.558561879673199</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169.42798250839101</v>
      </c>
      <c r="R23" s="211">
        <f xml:space="preserve"> 'Business retail'!R$94</f>
        <v>167.41643732660538</v>
      </c>
      <c r="S23" s="211">
        <f xml:space="preserve"> 'Business retail'!S$94</f>
        <v>187.96881536225899</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42.656927278692699</v>
      </c>
      <c r="R25" s="211">
        <f xml:space="preserve"> 'Business retail'!R$96</f>
        <v>41.831436478533028</v>
      </c>
      <c r="S25" s="211">
        <f xml:space="preserve"> 'Business retail'!S$96</f>
        <v>45.090559205572802</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182.65331658024402</v>
      </c>
      <c r="R26" s="211">
        <f xml:space="preserve"> 'Business retail'!R$97</f>
        <v>181.27242904513304</v>
      </c>
      <c r="S26" s="211">
        <f xml:space="preserve"> 'Business retail'!S$97</f>
        <v>203.83556133843501</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59.088219345517302</v>
      </c>
      <c r="R27" s="211">
        <f xml:space="preserve"> 'Business retail'!R$98</f>
        <v>58.635285297611027</v>
      </c>
      <c r="S27" s="211">
        <f xml:space="preserve"> 'Business retail'!S$98</f>
        <v>64.203218270057903</v>
      </c>
      <c r="T27" s="211">
        <f xml:space="preserve"> 'Business retail'!T$98</f>
        <v>0</v>
      </c>
    </row>
    <row r="28" spans="1:20">
      <c r="C28" s="150"/>
    </row>
    <row r="29" spans="1:20" s="213" customFormat="1" ht="13.5">
      <c r="A29" s="213" t="s">
        <v>750</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696</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697</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698</v>
      </c>
      <c r="F35" s="301"/>
      <c r="G35" s="301" t="s">
        <v>610</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751</v>
      </c>
      <c r="F36" s="301"/>
      <c r="G36" s="301" t="s">
        <v>610</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681</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673</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674</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675</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676</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679</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680</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677</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682</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511</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7" width="8.75" bestFit="1" customWidth="1"/>
    <col min="8" max="10" width="10.375" bestFit="1" customWidth="1"/>
  </cols>
  <sheetData>
    <row r="1" spans="1:10">
      <c r="A1" s="391"/>
      <c r="C1" t="s">
        <v>752</v>
      </c>
    </row>
    <row r="2" spans="1:10">
      <c r="A2" t="s">
        <v>128</v>
      </c>
      <c r="B2" t="s">
        <v>23</v>
      </c>
      <c r="C2" t="s">
        <v>129</v>
      </c>
      <c r="D2" t="s">
        <v>130</v>
      </c>
      <c r="E2" t="s">
        <v>131</v>
      </c>
      <c r="F2" t="s">
        <v>138</v>
      </c>
      <c r="G2" t="s">
        <v>139</v>
      </c>
      <c r="H2" t="s">
        <v>140</v>
      </c>
      <c r="I2" t="s">
        <v>141</v>
      </c>
      <c r="J2" t="s">
        <v>142</v>
      </c>
    </row>
    <row r="4" spans="1:10">
      <c r="B4" s="391" t="s">
        <v>753</v>
      </c>
      <c r="C4" t="s">
        <v>265</v>
      </c>
      <c r="D4" t="s">
        <v>237</v>
      </c>
      <c r="E4" t="s">
        <v>148</v>
      </c>
      <c r="F4" s="379">
        <f>Outputs!O10</f>
        <v>0</v>
      </c>
      <c r="G4" s="379">
        <f>Outputs!P10</f>
        <v>-5.24</v>
      </c>
      <c r="H4" s="379">
        <f>Outputs!Q10</f>
        <v>-38.75</v>
      </c>
      <c r="I4" s="379">
        <f>Outputs!R10</f>
        <v>-7.7799999999999994</v>
      </c>
      <c r="J4" s="379">
        <f>Outputs!S10</f>
        <v>23.14</v>
      </c>
    </row>
    <row r="5" spans="1:10">
      <c r="B5" s="391" t="s">
        <v>754</v>
      </c>
      <c r="C5" t="s">
        <v>271</v>
      </c>
      <c r="D5" t="s">
        <v>237</v>
      </c>
      <c r="E5" t="s">
        <v>148</v>
      </c>
      <c r="F5" s="379">
        <f>Outputs!O11</f>
        <v>0</v>
      </c>
      <c r="G5" s="379">
        <f>Outputs!P11</f>
        <v>4.4199999999999902</v>
      </c>
      <c r="H5" s="379">
        <f>Outputs!Q11</f>
        <v>1.3</v>
      </c>
      <c r="I5" s="379">
        <f>Outputs!R11</f>
        <v>3.93</v>
      </c>
      <c r="J5" s="379">
        <f>Outputs!S11</f>
        <v>-0.49</v>
      </c>
    </row>
    <row r="6" spans="1:10">
      <c r="B6" s="391" t="s">
        <v>755</v>
      </c>
      <c r="C6" t="s">
        <v>277</v>
      </c>
      <c r="D6" t="s">
        <v>237</v>
      </c>
      <c r="E6" t="s">
        <v>148</v>
      </c>
      <c r="F6" s="379">
        <f>Outputs!O12</f>
        <v>0</v>
      </c>
      <c r="G6" s="379">
        <f>Outputs!P12</f>
        <v>1.5</v>
      </c>
      <c r="H6" s="379">
        <f>Outputs!Q12</f>
        <v>-0.81999999999999984</v>
      </c>
      <c r="I6" s="379">
        <f>Outputs!R12</f>
        <v>12.17</v>
      </c>
      <c r="J6" s="379">
        <f>Outputs!S12</f>
        <v>6.9600000000000009</v>
      </c>
    </row>
    <row r="7" spans="1:10">
      <c r="B7" s="391" t="s">
        <v>756</v>
      </c>
      <c r="C7" t="s">
        <v>331</v>
      </c>
      <c r="D7" t="s">
        <v>237</v>
      </c>
      <c r="E7" t="s">
        <v>148</v>
      </c>
      <c r="F7" s="379">
        <f>Outputs!O13</f>
        <v>0</v>
      </c>
      <c r="G7" s="379">
        <f>Outputs!P13</f>
        <v>0</v>
      </c>
      <c r="H7" s="379">
        <f>Outputs!Q13</f>
        <v>0</v>
      </c>
      <c r="I7" s="379">
        <f>Outputs!R13</f>
        <v>0</v>
      </c>
      <c r="J7" s="426">
        <f>Outputs!S13</f>
        <v>0</v>
      </c>
    </row>
    <row r="8" spans="1:10">
      <c r="B8" s="391" t="s">
        <v>757</v>
      </c>
      <c r="C8" t="s">
        <v>284</v>
      </c>
      <c r="D8" t="s">
        <v>147</v>
      </c>
      <c r="E8" t="s">
        <v>148</v>
      </c>
      <c r="F8" s="417">
        <f>Outputs!O16</f>
        <v>0</v>
      </c>
      <c r="G8" s="417">
        <f>Outputs!P16</f>
        <v>0.76106190516839001</v>
      </c>
      <c r="H8" s="417">
        <f>Outputs!Q16</f>
        <v>0.76857260337977495</v>
      </c>
      <c r="I8" s="417">
        <f>Outputs!R16</f>
        <v>0.77608316916113596</v>
      </c>
      <c r="J8" s="417">
        <f>Outputs!S16</f>
        <v>0.78359348722960698</v>
      </c>
    </row>
    <row r="9" spans="1:10">
      <c r="B9" s="391" t="s">
        <v>758</v>
      </c>
      <c r="C9" t="s">
        <v>288</v>
      </c>
      <c r="D9" t="s">
        <v>147</v>
      </c>
      <c r="E9" t="s">
        <v>148</v>
      </c>
      <c r="F9" s="417">
        <f>Outputs!O19</f>
        <v>0</v>
      </c>
      <c r="G9" s="417">
        <f>Outputs!P19</f>
        <v>2.8614136733599498</v>
      </c>
      <c r="H9" s="417">
        <f>Outputs!Q19</f>
        <v>2.8941410726455299</v>
      </c>
      <c r="I9" s="417">
        <f>Outputs!R19</f>
        <v>2.9098685944812823</v>
      </c>
      <c r="J9" s="417">
        <f>Outputs!S19</f>
        <v>2.9422311764084998</v>
      </c>
    </row>
    <row r="10" spans="1:10">
      <c r="B10" s="391" t="s">
        <v>759</v>
      </c>
      <c r="C10" t="s">
        <v>760</v>
      </c>
      <c r="D10" t="s">
        <v>147</v>
      </c>
      <c r="E10" t="s">
        <v>148</v>
      </c>
      <c r="F10" s="417">
        <f>Outputs!O22</f>
        <v>0</v>
      </c>
      <c r="G10" s="417">
        <f>Outputs!P22</f>
        <v>0</v>
      </c>
      <c r="H10" s="417">
        <f>Outputs!Q22</f>
        <v>48.773120224721602</v>
      </c>
      <c r="I10" s="417">
        <f>Outputs!R22</f>
        <v>48.502207729466122</v>
      </c>
      <c r="J10" s="417">
        <f>Outputs!S22</f>
        <v>52.558561879673199</v>
      </c>
    </row>
    <row r="11" spans="1:10">
      <c r="B11" s="391" t="s">
        <v>761</v>
      </c>
      <c r="C11" t="s">
        <v>762</v>
      </c>
      <c r="D11" t="s">
        <v>147</v>
      </c>
      <c r="E11" t="s">
        <v>148</v>
      </c>
      <c r="F11" s="417">
        <f>Outputs!O23</f>
        <v>0</v>
      </c>
      <c r="G11" s="417">
        <f>Outputs!P23</f>
        <v>0</v>
      </c>
      <c r="H11" s="417">
        <f>Outputs!Q23</f>
        <v>169.42798250839101</v>
      </c>
      <c r="I11" s="417">
        <f>Outputs!R23</f>
        <v>167.41643732660538</v>
      </c>
      <c r="J11" s="417">
        <f>Outputs!S23</f>
        <v>187.96881536225899</v>
      </c>
    </row>
    <row r="12" spans="1:10">
      <c r="B12" s="391" t="s">
        <v>763</v>
      </c>
      <c r="C12" t="s">
        <v>764</v>
      </c>
      <c r="D12" t="s">
        <v>147</v>
      </c>
      <c r="E12" t="s">
        <v>148</v>
      </c>
      <c r="F12" s="417">
        <f>Outputs!O24</f>
        <v>0</v>
      </c>
      <c r="G12" s="417">
        <f>Outputs!P24</f>
        <v>0</v>
      </c>
      <c r="H12" s="417">
        <f>Outputs!Q24</f>
        <v>0</v>
      </c>
      <c r="I12" s="417">
        <f>Outputs!R24</f>
        <v>0</v>
      </c>
      <c r="J12" s="417">
        <f>Outputs!S24</f>
        <v>0</v>
      </c>
    </row>
    <row r="13" spans="1:10">
      <c r="B13" s="391" t="s">
        <v>765</v>
      </c>
      <c r="C13" t="s">
        <v>766</v>
      </c>
      <c r="D13" t="s">
        <v>147</v>
      </c>
      <c r="E13" t="s">
        <v>148</v>
      </c>
      <c r="F13" s="417">
        <f>Outputs!O25</f>
        <v>0</v>
      </c>
      <c r="G13" s="417">
        <f>Outputs!P25</f>
        <v>0</v>
      </c>
      <c r="H13" s="417">
        <f>Outputs!Q25</f>
        <v>42.656927278692699</v>
      </c>
      <c r="I13" s="417">
        <f>Outputs!R25</f>
        <v>41.831436478533028</v>
      </c>
      <c r="J13" s="417">
        <f>Outputs!S25</f>
        <v>45.090559205572802</v>
      </c>
    </row>
    <row r="14" spans="1:10">
      <c r="B14" s="391" t="s">
        <v>767</v>
      </c>
      <c r="C14" t="s">
        <v>768</v>
      </c>
      <c r="D14" t="s">
        <v>147</v>
      </c>
      <c r="E14" t="s">
        <v>148</v>
      </c>
      <c r="F14" s="417">
        <f>Outputs!O26</f>
        <v>0</v>
      </c>
      <c r="G14" s="417">
        <f>Outputs!P26</f>
        <v>0</v>
      </c>
      <c r="H14" s="417">
        <f>Outputs!Q26</f>
        <v>182.65331658024402</v>
      </c>
      <c r="I14" s="417">
        <f>Outputs!R26</f>
        <v>181.27242904513304</v>
      </c>
      <c r="J14" s="417">
        <f>Outputs!S26</f>
        <v>203.83556133843501</v>
      </c>
    </row>
    <row r="15" spans="1:10">
      <c r="B15" s="391" t="s">
        <v>769</v>
      </c>
      <c r="C15" t="s">
        <v>770</v>
      </c>
      <c r="D15" t="s">
        <v>147</v>
      </c>
      <c r="E15" t="s">
        <v>148</v>
      </c>
      <c r="F15" s="427">
        <f>Outputs!O27</f>
        <v>0</v>
      </c>
      <c r="G15" s="427">
        <f>Outputs!P27</f>
        <v>0</v>
      </c>
      <c r="H15" s="427">
        <f>Outputs!Q27</f>
        <v>59.088219345517302</v>
      </c>
      <c r="I15" s="427">
        <f>Outputs!R27</f>
        <v>58.635285297611027</v>
      </c>
      <c r="J15" s="427">
        <f>Outputs!S27</f>
        <v>64.203218270057903</v>
      </c>
    </row>
    <row r="16" spans="1:10">
      <c r="B16" s="391" t="s">
        <v>771</v>
      </c>
      <c r="C16" t="s">
        <v>772</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773</v>
      </c>
      <c r="C17" t="s">
        <v>774</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775</v>
      </c>
      <c r="C18" t="s">
        <v>776</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777</v>
      </c>
      <c r="C19" t="s">
        <v>778</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779</v>
      </c>
      <c r="C20" t="s">
        <v>780</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781</v>
      </c>
      <c r="C21" t="s">
        <v>782</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783</v>
      </c>
      <c r="C22" t="s">
        <v>784</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785</v>
      </c>
      <c r="C23" t="s">
        <v>786</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787</v>
      </c>
      <c r="C24" t="s">
        <v>788</v>
      </c>
      <c r="D24" t="s">
        <v>147</v>
      </c>
      <c r="E24" t="s">
        <v>148</v>
      </c>
      <c r="F24" s="426">
        <f>'Water resources'!O$30</f>
        <v>3.3585642300456864</v>
      </c>
      <c r="G24" s="426">
        <f>'Water resources'!P$30</f>
        <v>3.2011481698108994</v>
      </c>
      <c r="H24" s="426">
        <f>'Water resources'!Q$30</f>
        <v>2.1074103195367151</v>
      </c>
      <c r="I24" s="426">
        <f>'Water resources'!R$30</f>
        <v>2.5889535775508548</v>
      </c>
      <c r="J24" s="426">
        <f>'Water resources'!S$30</f>
        <v>2.6264934044253421</v>
      </c>
    </row>
    <row r="25" spans="2:10">
      <c r="B25" s="391" t="s">
        <v>789</v>
      </c>
      <c r="C25" t="s">
        <v>790</v>
      </c>
      <c r="D25" t="s">
        <v>147</v>
      </c>
      <c r="E25" t="s">
        <v>148</v>
      </c>
      <c r="F25" s="426">
        <f>'Water resources'!O$51</f>
        <v>3.3585642300456864</v>
      </c>
      <c r="G25" s="426">
        <f>'Water resources'!P$51</f>
        <v>3.2011481698108994</v>
      </c>
      <c r="H25" s="426">
        <f>'Water resources'!Q$51</f>
        <v>2.1074103195367151</v>
      </c>
      <c r="I25" s="426">
        <f>'Water resources'!R$51</f>
        <v>2.1329320104628824</v>
      </c>
      <c r="J25" s="426">
        <f>'Water resources'!S$51</f>
        <v>2.6264934044253421</v>
      </c>
    </row>
    <row r="26" spans="2:10">
      <c r="B26" s="391" t="s">
        <v>791</v>
      </c>
      <c r="C26" t="s">
        <v>792</v>
      </c>
      <c r="D26" t="s">
        <v>147</v>
      </c>
      <c r="E26" t="s">
        <v>148</v>
      </c>
      <c r="F26" s="426">
        <f>'Water network plus'!O$30</f>
        <v>16.869000116239338</v>
      </c>
      <c r="G26" s="426">
        <f>'Water network plus'!P$30</f>
        <v>17.707894714646638</v>
      </c>
      <c r="H26" s="426">
        <f>'Water network plus'!Q$30</f>
        <v>18.749641558340649</v>
      </c>
      <c r="I26" s="426">
        <f>'Water network plus'!R$30</f>
        <v>21.271468347937468</v>
      </c>
      <c r="J26" s="426">
        <f>'Water network plus'!S$30</f>
        <v>21.067262251797267</v>
      </c>
    </row>
    <row r="27" spans="2:10">
      <c r="B27" s="391" t="s">
        <v>793</v>
      </c>
      <c r="C27" t="s">
        <v>794</v>
      </c>
      <c r="D27" t="s">
        <v>147</v>
      </c>
      <c r="E27" t="s">
        <v>148</v>
      </c>
      <c r="F27" s="426">
        <f>'Water network plus'!O$51</f>
        <v>16.869000116239338</v>
      </c>
      <c r="G27" s="426">
        <f>'Water network plus'!P$51</f>
        <v>17.707894714646638</v>
      </c>
      <c r="H27" s="426">
        <f>'Water network plus'!Q$51</f>
        <v>18.749641558340649</v>
      </c>
      <c r="I27" s="426">
        <f>'Water network plus'!R$51</f>
        <v>21.172820347486478</v>
      </c>
      <c r="J27" s="426">
        <f>'Water network plus'!S$51</f>
        <v>21.067262251797267</v>
      </c>
    </row>
    <row r="28" spans="2:10">
      <c r="B28" s="391" t="s">
        <v>795</v>
      </c>
      <c r="C28" t="s">
        <v>796</v>
      </c>
      <c r="D28" t="s">
        <v>147</v>
      </c>
      <c r="E28" t="s">
        <v>148</v>
      </c>
      <c r="F28" s="426">
        <f>'Wastewater network plus'!O$30</f>
        <v>2.6673828459970608</v>
      </c>
      <c r="G28" s="426">
        <f>'Wastewater network plus'!P$30</f>
        <v>2.7221440929045113</v>
      </c>
      <c r="H28" s="426">
        <f>'Wastewater network plus'!Q$30</f>
        <v>2.8245770527223697</v>
      </c>
      <c r="I28" s="426">
        <f>'Wastewater network plus'!R$30</f>
        <v>3.4473962928476527</v>
      </c>
      <c r="J28" s="426">
        <f>'Wastewater network plus'!S$30</f>
        <v>3.6604453837456381</v>
      </c>
    </row>
    <row r="29" spans="2:10">
      <c r="B29" s="391" t="s">
        <v>797</v>
      </c>
      <c r="C29" t="s">
        <v>798</v>
      </c>
      <c r="D29" t="s">
        <v>147</v>
      </c>
      <c r="E29" t="s">
        <v>148</v>
      </c>
      <c r="F29" s="426">
        <f>'Wastewater network plus'!O$51</f>
        <v>2.6673828459970608</v>
      </c>
      <c r="G29" s="426">
        <f>'Wastewater network plus'!P$51</f>
        <v>2.7221440929045113</v>
      </c>
      <c r="H29" s="426">
        <f>'Wastewater network plus'!Q$51</f>
        <v>2.8245770527223697</v>
      </c>
      <c r="I29" s="426">
        <f>'Wastewater network plus'!R$51</f>
        <v>3.4224594246194346</v>
      </c>
      <c r="J29" s="426">
        <f>'Wastewater network plus'!S$51</f>
        <v>3.6604453837456381</v>
      </c>
    </row>
    <row r="30" spans="2:10">
      <c r="B30" s="391" t="s">
        <v>799</v>
      </c>
      <c r="C30" t="s">
        <v>800</v>
      </c>
      <c r="D30" t="s">
        <v>147</v>
      </c>
      <c r="E30" t="s">
        <v>148</v>
      </c>
      <c r="F30" s="426">
        <f>'Dummy control'!O$30</f>
        <v>0</v>
      </c>
      <c r="G30" s="426">
        <f>'Dummy control'!P$30</f>
        <v>0</v>
      </c>
      <c r="H30" s="426">
        <f>'Dummy control'!Q$30</f>
        <v>0</v>
      </c>
      <c r="I30" s="426">
        <f>'Dummy control'!R$30</f>
        <v>0</v>
      </c>
      <c r="J30" s="426">
        <f>'Dummy control'!S$30</f>
        <v>0</v>
      </c>
    </row>
    <row r="31" spans="2:10">
      <c r="B31" s="391" t="s">
        <v>801</v>
      </c>
      <c r="C31" t="s">
        <v>802</v>
      </c>
      <c r="D31" t="s">
        <v>147</v>
      </c>
      <c r="E31" t="s">
        <v>148</v>
      </c>
      <c r="F31" s="426">
        <f>'Dummy control'!O$51</f>
        <v>0</v>
      </c>
      <c r="G31" s="426">
        <f>'Dummy control'!P$51</f>
        <v>0</v>
      </c>
      <c r="H31" s="426">
        <f>'Dummy control'!Q$51</f>
        <v>0</v>
      </c>
      <c r="I31" s="426">
        <f>'Dummy control'!R$51</f>
        <v>0</v>
      </c>
      <c r="J31" s="426">
        <f>'Dummy control'!S$51</f>
        <v>0</v>
      </c>
    </row>
    <row r="32" spans="2:10">
      <c r="B32" s="391" t="s">
        <v>803</v>
      </c>
      <c r="C32" t="s">
        <v>804</v>
      </c>
      <c r="D32" t="s">
        <v>514</v>
      </c>
      <c r="E32" t="s">
        <v>148</v>
      </c>
      <c r="F32" t="str">
        <f ca="1">CONCATENATE("[…]", TEXT(NOW(),"dd/mm/yyy hh:mm:ss"))</f>
        <v>[…]08/11/2022 15:22:14</v>
      </c>
      <c r="G32" t="str">
        <f t="shared" ref="G32:J32" ca="1" si="0">CONCATENATE("[…]", TEXT(NOW(),"dd/mm/yyy hh:mm:ss"))</f>
        <v>[…]08/11/2022 15:22:14</v>
      </c>
      <c r="H32" t="str">
        <f t="shared" ca="1" si="0"/>
        <v>[…]08/11/2022 15:22:14</v>
      </c>
      <c r="I32" t="str">
        <f t="shared" ca="1" si="0"/>
        <v>[…]08/11/2022 15:22:14</v>
      </c>
      <c r="J32" t="str">
        <f t="shared" ca="1" si="0"/>
        <v>[…]08/11/2022 15:22:14</v>
      </c>
    </row>
    <row r="33" spans="2:10">
      <c r="B33" s="391" t="s">
        <v>805</v>
      </c>
      <c r="C33" t="s">
        <v>806</v>
      </c>
      <c r="D33" t="s">
        <v>514</v>
      </c>
      <c r="E33" t="s">
        <v>148</v>
      </c>
      <c r="F33" s="391" t="str">
        <f ca="1">MID(CELL("filename",A1),SEARCH("[",CELL("filename",A1))+1,SEARCH("]",CELL("filename",A1))-1-SEARCH("[",CELL("filename",A1)))</f>
        <v>HDD_PR19IPD04-in-period-adjustments-model-v1.4c - IPDRun4.xlsx</v>
      </c>
      <c r="G33" s="391" t="str">
        <f t="shared" ref="G33:J33" ca="1" si="1">MID(CELL("filename",B1),SEARCH("[",CELL("filename",B1))+1,SEARCH("]",CELL("filename",B1))-1-SEARCH("[",CELL("filename",B1)))</f>
        <v>HDD_PR19IPD04-in-period-adjustments-model-v1.4c - IPDRun4.xlsx</v>
      </c>
      <c r="H33" s="391" t="str">
        <f t="shared" ca="1" si="1"/>
        <v>HDD_PR19IPD04-in-period-adjustments-model-v1.4c - IPDRun4.xlsx</v>
      </c>
      <c r="I33" s="391" t="str">
        <f t="shared" ca="1" si="1"/>
        <v>HDD_PR19IPD04-in-period-adjustments-model-v1.4c - IPDRun4.xlsx</v>
      </c>
      <c r="J33" s="391" t="str">
        <f t="shared" ca="1" si="1"/>
        <v>HDD_PR19IPD04-in-period-adjustments-model-v1.4c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9.375" bestFit="1" customWidth="1"/>
    <col min="9" max="9" width="9" bestFit="1" customWidth="1"/>
    <col min="10" max="10" width="9.125" bestFit="1" customWidth="1"/>
    <col min="11"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-0.275756</v>
      </c>
      <c r="J7" s="379">
        <v>-0.27995116666666697</v>
      </c>
      <c r="K7" s="379"/>
      <c r="L7" s="379"/>
      <c r="M7" s="379"/>
      <c r="N7" s="379"/>
    </row>
    <row r="8" spans="1:14">
      <c r="A8" t="s">
        <v>144</v>
      </c>
      <c r="B8" t="s">
        <v>149</v>
      </c>
      <c r="C8" t="s">
        <v>150</v>
      </c>
      <c r="D8" t="s">
        <v>147</v>
      </c>
      <c r="E8" t="s">
        <v>148</v>
      </c>
      <c r="F8" s="379"/>
      <c r="G8" s="379"/>
      <c r="H8" s="379"/>
      <c r="I8" s="379">
        <v>-0.14658099999999999</v>
      </c>
      <c r="J8" s="379">
        <v>-8.6188666666666705E-2</v>
      </c>
      <c r="K8" s="379"/>
      <c r="L8" s="379"/>
      <c r="M8" s="379"/>
      <c r="N8" s="379"/>
    </row>
    <row r="9" spans="1:14">
      <c r="A9" t="s">
        <v>144</v>
      </c>
      <c r="B9" t="s">
        <v>151</v>
      </c>
      <c r="C9" t="s">
        <v>152</v>
      </c>
      <c r="D9" t="s">
        <v>147</v>
      </c>
      <c r="E9" t="s">
        <v>148</v>
      </c>
      <c r="F9" s="379"/>
      <c r="G9" s="379"/>
      <c r="H9" s="379"/>
      <c r="I9" s="379">
        <v>-3.6526739980233897E-2</v>
      </c>
      <c r="J9" s="379">
        <v>-1.9367160000000001E-2</v>
      </c>
      <c r="K9" s="379"/>
      <c r="L9" s="379"/>
      <c r="M9" s="379"/>
      <c r="N9" s="379"/>
    </row>
    <row r="10" spans="1:14">
      <c r="A10" t="s">
        <v>144</v>
      </c>
      <c r="B10" t="s">
        <v>153</v>
      </c>
      <c r="C10" t="s">
        <v>154</v>
      </c>
      <c r="D10" t="s">
        <v>147</v>
      </c>
      <c r="E10" t="s">
        <v>148</v>
      </c>
      <c r="F10" s="379"/>
      <c r="G10" s="379"/>
      <c r="H10" s="379"/>
      <c r="I10" s="379">
        <v>0</v>
      </c>
      <c r="J10" s="379">
        <v>0</v>
      </c>
      <c r="K10" s="379"/>
      <c r="L10" s="379"/>
      <c r="M10" s="379"/>
      <c r="N10" s="379"/>
    </row>
    <row r="11" spans="1:14">
      <c r="A11" t="s">
        <v>144</v>
      </c>
      <c r="B11" t="s">
        <v>155</v>
      </c>
      <c r="C11" t="s">
        <v>156</v>
      </c>
      <c r="D11" t="s">
        <v>147</v>
      </c>
      <c r="E11" t="s">
        <v>148</v>
      </c>
      <c r="F11" s="379"/>
      <c r="G11" s="379"/>
      <c r="H11" s="379"/>
      <c r="I11" s="379">
        <v>3.9E-2</v>
      </c>
      <c r="J11" s="379">
        <v>3.9E-2</v>
      </c>
      <c r="K11" s="379"/>
      <c r="L11" s="379"/>
      <c r="M11" s="379"/>
      <c r="N11" s="379"/>
    </row>
    <row r="12" spans="1:14">
      <c r="A12" t="s">
        <v>144</v>
      </c>
      <c r="B12" t="s">
        <v>157</v>
      </c>
      <c r="C12" t="s">
        <v>158</v>
      </c>
      <c r="D12" t="s">
        <v>147</v>
      </c>
      <c r="E12" t="s">
        <v>148</v>
      </c>
      <c r="F12" s="379"/>
      <c r="G12" s="379"/>
      <c r="H12" s="379"/>
      <c r="I12" s="379">
        <v>-1.18E-2</v>
      </c>
      <c r="J12" s="379">
        <v>-1.77E-2</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-3.2551884842784103E-2</v>
      </c>
      <c r="J14" s="379">
        <v>-4.5691509589905199E-2</v>
      </c>
      <c r="K14" s="379"/>
      <c r="L14" s="379"/>
      <c r="M14" s="379"/>
      <c r="N14" s="379"/>
    </row>
    <row r="15" spans="1:14">
      <c r="A15" t="s">
        <v>144</v>
      </c>
      <c r="B15" t="s">
        <v>163</v>
      </c>
      <c r="C15" t="s">
        <v>164</v>
      </c>
      <c r="D15" t="s">
        <v>147</v>
      </c>
      <c r="E15" t="s">
        <v>148</v>
      </c>
      <c r="F15" s="414"/>
      <c r="G15" s="414"/>
      <c r="H15" s="414"/>
      <c r="I15" s="414">
        <v>-3.2551884842784103E-2</v>
      </c>
      <c r="J15" s="414">
        <v>-4.5691509589905199E-2</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3.1592320278788798E-2</v>
      </c>
      <c r="J17" s="379">
        <v>2.7768725939504999E-2</v>
      </c>
      <c r="K17" s="379"/>
      <c r="L17" s="379"/>
      <c r="M17" s="379"/>
      <c r="N17" s="379"/>
    </row>
    <row r="18" spans="1:14">
      <c r="A18" t="s">
        <v>144</v>
      </c>
      <c r="B18" t="s">
        <v>169</v>
      </c>
      <c r="C18" t="s">
        <v>170</v>
      </c>
      <c r="D18" t="s">
        <v>147</v>
      </c>
      <c r="E18" t="s">
        <v>148</v>
      </c>
      <c r="F18" s="379"/>
      <c r="G18" s="379"/>
      <c r="H18" s="379"/>
      <c r="I18" s="379">
        <v>1.24706527416271E-3</v>
      </c>
      <c r="J18" s="379">
        <v>4.1429147571035701E-3</v>
      </c>
      <c r="K18" s="379"/>
      <c r="L18" s="379"/>
      <c r="M18" s="379"/>
      <c r="N18" s="379"/>
    </row>
    <row r="19" spans="1:14">
      <c r="A19" t="s">
        <v>144</v>
      </c>
      <c r="B19" t="s">
        <v>171</v>
      </c>
      <c r="C19" t="s">
        <v>172</v>
      </c>
      <c r="D19" t="s">
        <v>147</v>
      </c>
      <c r="E19" t="s">
        <v>148</v>
      </c>
      <c r="F19" s="379"/>
      <c r="G19" s="379"/>
      <c r="H19" s="379"/>
      <c r="I19" s="379">
        <v>-3.46302655143903E-3</v>
      </c>
      <c r="J19" s="379">
        <v>0</v>
      </c>
      <c r="K19" s="379"/>
      <c r="L19" s="379"/>
      <c r="M19" s="379"/>
      <c r="N19" s="379"/>
    </row>
    <row r="20" spans="1:14">
      <c r="A20" t="s">
        <v>144</v>
      </c>
      <c r="B20" t="s">
        <v>173</v>
      </c>
      <c r="C20" t="s">
        <v>174</v>
      </c>
      <c r="D20" t="s">
        <v>147</v>
      </c>
      <c r="E20" t="s">
        <v>148</v>
      </c>
      <c r="F20" s="379"/>
      <c r="G20" s="379"/>
      <c r="H20" s="379"/>
      <c r="I20" s="379">
        <v>-0.17182190203584899</v>
      </c>
      <c r="J20" s="379">
        <v>0</v>
      </c>
      <c r="K20" s="379"/>
      <c r="L20" s="379"/>
      <c r="M20" s="379"/>
      <c r="N20" s="379"/>
    </row>
    <row r="21" spans="1:14">
      <c r="A21" t="s">
        <v>144</v>
      </c>
      <c r="B21" t="s">
        <v>175</v>
      </c>
      <c r="C21" t="s">
        <v>176</v>
      </c>
      <c r="D21" t="s">
        <v>147</v>
      </c>
      <c r="E21" t="s">
        <v>148</v>
      </c>
      <c r="F21" s="379"/>
      <c r="G21" s="379"/>
      <c r="H21" s="379"/>
      <c r="I21" s="379">
        <v>-0.151725917734604</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v>3.9E-2</v>
      </c>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0</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-2.1399643491277001E-3</v>
      </c>
      <c r="K41" s="417"/>
      <c r="L41" s="417"/>
      <c r="M41" s="417"/>
      <c r="N41" s="417"/>
    </row>
    <row r="42" spans="1:14">
      <c r="A42" t="s">
        <v>144</v>
      </c>
      <c r="B42" t="s">
        <v>217</v>
      </c>
      <c r="C42" t="s">
        <v>218</v>
      </c>
      <c r="D42" t="s">
        <v>147</v>
      </c>
      <c r="E42" t="s">
        <v>148</v>
      </c>
      <c r="F42" s="417"/>
      <c r="G42" s="417"/>
      <c r="H42" s="417"/>
      <c r="I42" s="417"/>
      <c r="J42" s="417">
        <v>-8.4472276939251195E-5</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2.20582827356262E-3</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2.91957638201563E-2</v>
      </c>
    </row>
    <row r="48" spans="1:14">
      <c r="A48" t="s">
        <v>144</v>
      </c>
      <c r="B48" t="s">
        <v>231</v>
      </c>
      <c r="C48" t="s">
        <v>232</v>
      </c>
      <c r="D48" t="s">
        <v>229</v>
      </c>
      <c r="E48" t="s">
        <v>148</v>
      </c>
      <c r="F48" s="416"/>
      <c r="G48" s="416"/>
      <c r="H48" s="416"/>
      <c r="I48" s="416"/>
      <c r="J48" s="416"/>
      <c r="K48" s="416"/>
      <c r="L48" s="416"/>
      <c r="M48" s="416"/>
      <c r="N48" s="416">
        <v>2.9600000000000001E-2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3.17076751618076</v>
      </c>
      <c r="J62" s="379">
        <v>3.0073865440826499</v>
      </c>
      <c r="K62" s="379">
        <v>2.2144177661595301</v>
      </c>
      <c r="L62" s="379">
        <v>2.1294046056185301</v>
      </c>
      <c r="M62" s="379">
        <v>2.1594819207384002</v>
      </c>
      <c r="N62" s="379"/>
    </row>
    <row r="63" spans="1:14">
      <c r="A63" t="s">
        <v>144</v>
      </c>
      <c r="B63" t="s">
        <v>262</v>
      </c>
      <c r="C63" t="s">
        <v>263</v>
      </c>
      <c r="D63" t="s">
        <v>229</v>
      </c>
      <c r="E63" t="s">
        <v>230</v>
      </c>
      <c r="F63" s="416"/>
      <c r="G63" s="416">
        <v>0</v>
      </c>
      <c r="H63" s="416">
        <v>0</v>
      </c>
      <c r="I63" s="416">
        <v>0</v>
      </c>
      <c r="J63" s="416">
        <v>-5.2400000000000002E-2</v>
      </c>
      <c r="K63" s="416">
        <v>-0.26840000000000003</v>
      </c>
      <c r="L63" s="416">
        <v>-3.9100000000000003E-2</v>
      </c>
      <c r="M63" s="416">
        <v>1.4500000000000001E-2</v>
      </c>
      <c r="N63" s="416"/>
    </row>
    <row r="64" spans="1:14">
      <c r="A64" t="s">
        <v>144</v>
      </c>
      <c r="B64" t="s">
        <v>264</v>
      </c>
      <c r="C64" t="s">
        <v>265</v>
      </c>
      <c r="D64" t="s">
        <v>237</v>
      </c>
      <c r="E64" t="s">
        <v>230</v>
      </c>
      <c r="F64" s="379"/>
      <c r="G64" s="379"/>
      <c r="H64" s="379"/>
      <c r="I64" s="379">
        <v>0</v>
      </c>
      <c r="J64" s="379">
        <v>-5.24</v>
      </c>
      <c r="K64" s="379">
        <v>-38.75</v>
      </c>
      <c r="L64" s="379">
        <v>13.85</v>
      </c>
      <c r="M64" s="379">
        <v>1.45</v>
      </c>
      <c r="N64" s="379"/>
    </row>
    <row r="65" spans="1:14">
      <c r="A65" t="s">
        <v>144</v>
      </c>
      <c r="B65" t="s">
        <v>266</v>
      </c>
      <c r="C65" t="s">
        <v>267</v>
      </c>
      <c r="D65" t="s">
        <v>147</v>
      </c>
      <c r="E65" t="s">
        <v>230</v>
      </c>
      <c r="F65" s="379"/>
      <c r="G65" s="379">
        <v>0</v>
      </c>
      <c r="H65" s="379">
        <v>0</v>
      </c>
      <c r="I65" s="379">
        <v>15.9257569411717</v>
      </c>
      <c r="J65" s="379">
        <v>16.612898601750601</v>
      </c>
      <c r="K65" s="379">
        <v>17.168601981577101</v>
      </c>
      <c r="L65" s="379">
        <v>17.552813924244902</v>
      </c>
      <c r="M65" s="379">
        <v>17.387105592128599</v>
      </c>
      <c r="N65" s="379"/>
    </row>
    <row r="66" spans="1:14">
      <c r="A66" t="s">
        <v>144</v>
      </c>
      <c r="B66" t="s">
        <v>268</v>
      </c>
      <c r="C66" t="s">
        <v>269</v>
      </c>
      <c r="D66" t="s">
        <v>229</v>
      </c>
      <c r="E66" t="s">
        <v>230</v>
      </c>
      <c r="F66" s="416"/>
      <c r="G66" s="416">
        <v>0</v>
      </c>
      <c r="H66" s="416">
        <v>0</v>
      </c>
      <c r="I66" s="416">
        <v>0</v>
      </c>
      <c r="J66" s="416">
        <v>4.4199999999999899E-2</v>
      </c>
      <c r="K66" s="416">
        <v>3.49E-2</v>
      </c>
      <c r="L66" s="416">
        <v>2.3E-2</v>
      </c>
      <c r="M66" s="416">
        <v>-9.5999999999999992E-3</v>
      </c>
      <c r="N66" s="416"/>
    </row>
    <row r="67" spans="1:14">
      <c r="A67" t="s">
        <v>144</v>
      </c>
      <c r="B67" t="s">
        <v>270</v>
      </c>
      <c r="C67" t="s">
        <v>271</v>
      </c>
      <c r="D67" t="s">
        <v>237</v>
      </c>
      <c r="E67" t="s">
        <v>230</v>
      </c>
      <c r="F67" s="379"/>
      <c r="G67" s="379"/>
      <c r="H67" s="379"/>
      <c r="I67" s="379">
        <v>0</v>
      </c>
      <c r="J67" s="379">
        <v>4.4199999999999902</v>
      </c>
      <c r="K67" s="379">
        <v>1.3</v>
      </c>
      <c r="L67" s="379">
        <v>4.45</v>
      </c>
      <c r="M67" s="379">
        <v>-0.96</v>
      </c>
      <c r="N67" s="379"/>
    </row>
    <row r="68" spans="1:14">
      <c r="A68" t="s">
        <v>144</v>
      </c>
      <c r="B68" t="s">
        <v>272</v>
      </c>
      <c r="C68" t="s">
        <v>273</v>
      </c>
      <c r="D68" t="s">
        <v>147</v>
      </c>
      <c r="E68" t="s">
        <v>230</v>
      </c>
      <c r="F68" s="379"/>
      <c r="G68" s="379">
        <v>0</v>
      </c>
      <c r="H68" s="379">
        <v>0</v>
      </c>
      <c r="I68" s="379">
        <v>2.5182340732516599</v>
      </c>
      <c r="J68" s="379">
        <v>2.5547625587187799</v>
      </c>
      <c r="K68" s="379">
        <v>2.7564600616311599</v>
      </c>
      <c r="L68" s="379">
        <v>2.8627296954083898</v>
      </c>
      <c r="M68" s="379">
        <v>3.0360224174383998</v>
      </c>
      <c r="N68" s="379"/>
    </row>
    <row r="69" spans="1:14">
      <c r="A69" t="s">
        <v>144</v>
      </c>
      <c r="B69" t="s">
        <v>274</v>
      </c>
      <c r="C69" t="s">
        <v>275</v>
      </c>
      <c r="D69" t="s">
        <v>229</v>
      </c>
      <c r="E69" t="s">
        <v>230</v>
      </c>
      <c r="F69" s="416"/>
      <c r="G69" s="416">
        <v>0</v>
      </c>
      <c r="H69" s="416">
        <v>0</v>
      </c>
      <c r="I69" s="416">
        <v>0</v>
      </c>
      <c r="J69" s="416">
        <v>1.4999999999999999E-2</v>
      </c>
      <c r="K69" s="416">
        <v>8.14E-2</v>
      </c>
      <c r="L69" s="416">
        <v>3.95E-2</v>
      </c>
      <c r="M69" s="416">
        <v>6.1799999999999897E-2</v>
      </c>
      <c r="N69" s="416"/>
    </row>
    <row r="70" spans="1:14">
      <c r="A70" t="s">
        <v>144</v>
      </c>
      <c r="B70" t="s">
        <v>276</v>
      </c>
      <c r="C70" t="s">
        <v>277</v>
      </c>
      <c r="D70" t="s">
        <v>237</v>
      </c>
      <c r="E70" t="s">
        <v>230</v>
      </c>
      <c r="F70" s="379"/>
      <c r="G70" s="379"/>
      <c r="H70" s="379"/>
      <c r="I70" s="379">
        <v>0</v>
      </c>
      <c r="J70" s="379">
        <v>1.5</v>
      </c>
      <c r="K70" s="379">
        <v>-0.82</v>
      </c>
      <c r="L70" s="379">
        <v>13.05</v>
      </c>
      <c r="M70" s="379">
        <v>6.18</v>
      </c>
      <c r="N70" s="379"/>
    </row>
    <row r="71" spans="1:14">
      <c r="A71" t="s">
        <v>144</v>
      </c>
      <c r="B71" t="s">
        <v>278</v>
      </c>
      <c r="C71" t="s">
        <v>279</v>
      </c>
      <c r="D71" t="s">
        <v>280</v>
      </c>
      <c r="E71" t="s">
        <v>148</v>
      </c>
      <c r="F71" s="379"/>
      <c r="G71" s="379"/>
      <c r="H71" s="379"/>
      <c r="I71" s="379">
        <v>0.66547506341786899</v>
      </c>
      <c r="J71" s="379">
        <v>0.67210890116226396</v>
      </c>
      <c r="K71" s="379">
        <v>0.67874174809302501</v>
      </c>
      <c r="L71" s="379">
        <v>0.68537447807219898</v>
      </c>
      <c r="M71" s="379">
        <v>0.69200698929119397</v>
      </c>
      <c r="N71" s="379"/>
    </row>
    <row r="72" spans="1:14">
      <c r="A72" t="s">
        <v>144</v>
      </c>
      <c r="B72" t="s">
        <v>281</v>
      </c>
      <c r="C72" t="s">
        <v>282</v>
      </c>
      <c r="D72" t="s">
        <v>147</v>
      </c>
      <c r="E72" t="s">
        <v>148</v>
      </c>
      <c r="F72" s="379"/>
      <c r="G72" s="379"/>
      <c r="H72" s="379"/>
      <c r="I72" s="379">
        <v>0.65364757197233303</v>
      </c>
      <c r="J72" s="379">
        <v>0.79535515609188301</v>
      </c>
      <c r="K72" s="379">
        <v>0.79985128080623602</v>
      </c>
      <c r="L72" s="379">
        <v>0.80526262247052505</v>
      </c>
      <c r="M72" s="379">
        <v>0.78874461860801504</v>
      </c>
      <c r="N72" s="379"/>
    </row>
    <row r="73" spans="1:14">
      <c r="A73" t="s">
        <v>144</v>
      </c>
      <c r="B73" t="s">
        <v>283</v>
      </c>
      <c r="C73" t="s">
        <v>284</v>
      </c>
      <c r="D73" t="s">
        <v>147</v>
      </c>
      <c r="E73" t="s">
        <v>230</v>
      </c>
      <c r="F73" s="417"/>
      <c r="G73" s="417"/>
      <c r="H73" s="417"/>
      <c r="I73" s="417">
        <v>0</v>
      </c>
      <c r="J73" s="417">
        <v>0.76106190516839001</v>
      </c>
      <c r="K73" s="417">
        <v>0.76857260337977495</v>
      </c>
      <c r="L73" s="417">
        <v>0.77608316916113596</v>
      </c>
      <c r="M73" s="417">
        <v>0.78359348722960698</v>
      </c>
      <c r="N73" s="417"/>
    </row>
    <row r="74" spans="1:14">
      <c r="A74" t="s">
        <v>144</v>
      </c>
      <c r="B74" t="s">
        <v>285</v>
      </c>
      <c r="C74" t="s">
        <v>286</v>
      </c>
      <c r="D74" t="s">
        <v>147</v>
      </c>
      <c r="E74" t="s">
        <v>148</v>
      </c>
      <c r="F74" s="379"/>
      <c r="G74" s="379"/>
      <c r="H74" s="379"/>
      <c r="I74" s="379">
        <v>2.8278316031866702</v>
      </c>
      <c r="J74" s="379">
        <v>2.8614136733599498</v>
      </c>
      <c r="K74" s="379">
        <v>2.8882614481161699</v>
      </c>
      <c r="L74" s="379">
        <v>2.91717546677509</v>
      </c>
      <c r="M74" s="379">
        <v>2.9422311764084998</v>
      </c>
      <c r="N74" s="379"/>
    </row>
    <row r="75" spans="1:14">
      <c r="A75" t="s">
        <v>144</v>
      </c>
      <c r="B75" t="s">
        <v>287</v>
      </c>
      <c r="C75" t="s">
        <v>288</v>
      </c>
      <c r="D75" t="s">
        <v>147</v>
      </c>
      <c r="E75" t="s">
        <v>230</v>
      </c>
      <c r="F75" s="417"/>
      <c r="G75" s="417"/>
      <c r="H75" s="417"/>
      <c r="I75" s="417">
        <v>0</v>
      </c>
      <c r="J75" s="417">
        <v>2.8614136733599498</v>
      </c>
      <c r="K75" s="417">
        <v>2.8941410726455299</v>
      </c>
      <c r="L75" s="417">
        <v>2.91717546677509</v>
      </c>
      <c r="M75" s="417">
        <v>2.9422311764084998</v>
      </c>
      <c r="N75" s="417"/>
    </row>
    <row r="76" spans="1:14">
      <c r="A76" t="s">
        <v>144</v>
      </c>
      <c r="B76" t="s">
        <v>289</v>
      </c>
      <c r="C76" t="s">
        <v>290</v>
      </c>
      <c r="D76" t="s">
        <v>291</v>
      </c>
      <c r="E76" t="s">
        <v>230</v>
      </c>
      <c r="F76" s="379"/>
      <c r="G76" s="379"/>
      <c r="H76" s="379"/>
      <c r="I76" s="379">
        <v>49.971663950920998</v>
      </c>
      <c r="J76" s="379">
        <v>50.813524732584703</v>
      </c>
      <c r="K76" s="379">
        <v>48.773120224721602</v>
      </c>
      <c r="L76" s="379">
        <v>51.891575217186698</v>
      </c>
      <c r="M76" s="379">
        <v>52.558561879673199</v>
      </c>
      <c r="N76" s="379"/>
    </row>
    <row r="77" spans="1:14">
      <c r="A77" t="s">
        <v>144</v>
      </c>
      <c r="B77" t="s">
        <v>292</v>
      </c>
      <c r="C77" t="s">
        <v>293</v>
      </c>
      <c r="D77" t="s">
        <v>291</v>
      </c>
      <c r="E77" t="s">
        <v>230</v>
      </c>
      <c r="F77" s="379"/>
      <c r="G77" s="379"/>
      <c r="H77" s="379"/>
      <c r="I77" s="379">
        <v>173.19696395041899</v>
      </c>
      <c r="J77" s="379">
        <v>177.35400888293199</v>
      </c>
      <c r="K77" s="379">
        <v>169.42798250839101</v>
      </c>
      <c r="L77" s="379">
        <v>184.448031563591</v>
      </c>
      <c r="M77" s="379">
        <v>187.96881536225899</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45.361558650511803</v>
      </c>
      <c r="J79" s="379">
        <v>45.602550097360101</v>
      </c>
      <c r="K79" s="379">
        <v>42.656927278692699</v>
      </c>
      <c r="L79" s="379">
        <v>45.0788803712583</v>
      </c>
      <c r="M79" s="379">
        <v>45.090559205572802</v>
      </c>
      <c r="N79" s="379"/>
    </row>
    <row r="80" spans="1:14">
      <c r="A80" t="s">
        <v>144</v>
      </c>
      <c r="B80" t="s">
        <v>298</v>
      </c>
      <c r="C80" t="s">
        <v>299</v>
      </c>
      <c r="D80" t="s">
        <v>291</v>
      </c>
      <c r="E80" t="s">
        <v>230</v>
      </c>
      <c r="F80" s="379"/>
      <c r="G80" s="379"/>
      <c r="H80" s="379"/>
      <c r="I80" s="379">
        <v>183.498104358478</v>
      </c>
      <c r="J80" s="379">
        <v>188.18880815665801</v>
      </c>
      <c r="K80" s="379">
        <v>182.653316580244</v>
      </c>
      <c r="L80" s="379">
        <v>199.48476856833901</v>
      </c>
      <c r="M80" s="379">
        <v>203.83556133843501</v>
      </c>
      <c r="N80" s="379"/>
    </row>
    <row r="81" spans="1:14">
      <c r="A81" t="s">
        <v>144</v>
      </c>
      <c r="B81" t="s">
        <v>300</v>
      </c>
      <c r="C81" t="s">
        <v>301</v>
      </c>
      <c r="D81" t="s">
        <v>291</v>
      </c>
      <c r="E81" t="s">
        <v>230</v>
      </c>
      <c r="F81" s="379"/>
      <c r="G81" s="379"/>
      <c r="H81" s="379"/>
      <c r="I81" s="379">
        <v>59.565544888624402</v>
      </c>
      <c r="J81" s="379">
        <v>60.832589166716197</v>
      </c>
      <c r="K81" s="379">
        <v>59.088219345517302</v>
      </c>
      <c r="L81" s="379">
        <v>63.248575870313701</v>
      </c>
      <c r="M81" s="379">
        <v>64.203218270057903</v>
      </c>
      <c r="N81" s="379"/>
    </row>
    <row r="82" spans="1:14">
      <c r="A82" t="s">
        <v>144</v>
      </c>
      <c r="B82" t="s">
        <v>302</v>
      </c>
      <c r="C82" t="s">
        <v>303</v>
      </c>
      <c r="D82" t="s">
        <v>237</v>
      </c>
      <c r="E82" t="s">
        <v>230</v>
      </c>
      <c r="F82" s="418">
        <v>6980</v>
      </c>
      <c r="G82" s="418">
        <v>6990</v>
      </c>
      <c r="H82" s="418">
        <v>6999</v>
      </c>
      <c r="I82" s="418">
        <v>7012</v>
      </c>
      <c r="J82" s="418">
        <v>7028</v>
      </c>
      <c r="K82" s="418">
        <v>7047</v>
      </c>
      <c r="L82" s="418">
        <v>7066</v>
      </c>
      <c r="M82" s="418">
        <v>7086</v>
      </c>
      <c r="N82" s="418"/>
    </row>
    <row r="83" spans="1:14">
      <c r="A83" t="s">
        <v>144</v>
      </c>
      <c r="B83" t="s">
        <v>304</v>
      </c>
      <c r="C83" t="s">
        <v>305</v>
      </c>
      <c r="D83" t="s">
        <v>237</v>
      </c>
      <c r="E83" t="s">
        <v>230</v>
      </c>
      <c r="F83" s="418">
        <v>83</v>
      </c>
      <c r="G83" s="418">
        <v>84</v>
      </c>
      <c r="H83" s="418">
        <v>84</v>
      </c>
      <c r="I83" s="418">
        <v>84</v>
      </c>
      <c r="J83" s="418">
        <v>84</v>
      </c>
      <c r="K83" s="418">
        <v>85</v>
      </c>
      <c r="L83" s="418">
        <v>85</v>
      </c>
      <c r="M83" s="418">
        <v>85</v>
      </c>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v>871</v>
      </c>
      <c r="G85" s="418">
        <v>879</v>
      </c>
      <c r="H85" s="418">
        <v>887</v>
      </c>
      <c r="I85" s="418">
        <v>895</v>
      </c>
      <c r="J85" s="418">
        <v>906</v>
      </c>
      <c r="K85" s="418">
        <v>920</v>
      </c>
      <c r="L85" s="418">
        <v>933</v>
      </c>
      <c r="M85" s="418">
        <v>948</v>
      </c>
      <c r="N85" s="418"/>
    </row>
    <row r="86" spans="1:14">
      <c r="A86" t="s">
        <v>144</v>
      </c>
      <c r="B86" t="s">
        <v>310</v>
      </c>
      <c r="C86" t="s">
        <v>311</v>
      </c>
      <c r="D86" t="s">
        <v>237</v>
      </c>
      <c r="E86" t="s">
        <v>230</v>
      </c>
      <c r="F86" s="418">
        <v>22</v>
      </c>
      <c r="G86" s="418">
        <v>22</v>
      </c>
      <c r="H86" s="418">
        <v>22</v>
      </c>
      <c r="I86" s="418">
        <v>22</v>
      </c>
      <c r="J86" s="418">
        <v>22</v>
      </c>
      <c r="K86" s="418">
        <v>22</v>
      </c>
      <c r="L86" s="418">
        <v>22</v>
      </c>
      <c r="M86" s="418">
        <v>22</v>
      </c>
      <c r="N86" s="418"/>
    </row>
    <row r="87" spans="1:14">
      <c r="A87" t="s">
        <v>144</v>
      </c>
      <c r="B87" t="s">
        <v>312</v>
      </c>
      <c r="C87" t="s">
        <v>313</v>
      </c>
      <c r="D87" t="s">
        <v>237</v>
      </c>
      <c r="E87" t="s">
        <v>230</v>
      </c>
      <c r="F87" s="418">
        <v>1</v>
      </c>
      <c r="G87" s="418">
        <v>1</v>
      </c>
      <c r="H87" s="418">
        <v>1</v>
      </c>
      <c r="I87" s="418">
        <v>1</v>
      </c>
      <c r="J87" s="418">
        <v>1</v>
      </c>
      <c r="K87" s="418">
        <v>1</v>
      </c>
      <c r="L87" s="418">
        <v>1</v>
      </c>
      <c r="M87" s="418">
        <v>1</v>
      </c>
      <c r="N87" s="418"/>
    </row>
    <row r="88" spans="1:14">
      <c r="A88" t="s">
        <v>144</v>
      </c>
      <c r="B88" t="s">
        <v>314</v>
      </c>
      <c r="C88" t="s">
        <v>315</v>
      </c>
      <c r="D88" t="s">
        <v>229</v>
      </c>
      <c r="E88" t="s">
        <v>148</v>
      </c>
      <c r="F88" s="416"/>
      <c r="G88" s="416"/>
      <c r="H88" s="416"/>
      <c r="I88" s="416">
        <v>0.83307923937263495</v>
      </c>
      <c r="J88" s="416">
        <v>0.83216763583639697</v>
      </c>
      <c r="K88" s="416">
        <v>0.83145540551152597</v>
      </c>
      <c r="L88" s="416">
        <v>0.830645898470455</v>
      </c>
      <c r="M88" s="416">
        <v>0.82988346798289803</v>
      </c>
      <c r="N88" s="416"/>
    </row>
    <row r="89" spans="1:14">
      <c r="A89" t="s">
        <v>144</v>
      </c>
      <c r="B89" t="s">
        <v>316</v>
      </c>
      <c r="C89" t="s">
        <v>317</v>
      </c>
      <c r="D89" t="s">
        <v>229</v>
      </c>
      <c r="E89" t="s">
        <v>148</v>
      </c>
      <c r="F89" s="416"/>
      <c r="G89" s="416"/>
      <c r="H89" s="416"/>
      <c r="I89" s="416">
        <v>4.8538512105656198E-2</v>
      </c>
      <c r="J89" s="416">
        <v>4.9047119530270099E-2</v>
      </c>
      <c r="K89" s="416">
        <v>4.9930677612477201E-2</v>
      </c>
      <c r="L89" s="416">
        <v>5.0210883159421502E-2</v>
      </c>
      <c r="M89" s="416">
        <v>5.0363109437463999E-2</v>
      </c>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v>0.105097707607374</v>
      </c>
      <c r="J91" s="416">
        <v>0.105291013728624</v>
      </c>
      <c r="K91" s="416">
        <v>0.104749441585418</v>
      </c>
      <c r="L91" s="416">
        <v>0.10508650122248001</v>
      </c>
      <c r="M91" s="416">
        <v>0.105499510367024</v>
      </c>
      <c r="N91" s="416"/>
    </row>
    <row r="92" spans="1:14">
      <c r="A92" t="s">
        <v>144</v>
      </c>
      <c r="B92" t="s">
        <v>322</v>
      </c>
      <c r="C92" t="s">
        <v>323</v>
      </c>
      <c r="D92" t="s">
        <v>229</v>
      </c>
      <c r="E92" t="s">
        <v>148</v>
      </c>
      <c r="F92" s="416"/>
      <c r="G92" s="416"/>
      <c r="H92" s="416"/>
      <c r="I92" s="416">
        <v>1.3123455734413101E-2</v>
      </c>
      <c r="J92" s="416">
        <v>1.3333428564863199E-2</v>
      </c>
      <c r="K92" s="416">
        <v>1.3702745616307899E-2</v>
      </c>
      <c r="L92" s="416">
        <v>1.38967118203103E-2</v>
      </c>
      <c r="M92" s="416">
        <v>1.40796435098746E-2</v>
      </c>
      <c r="N92" s="416"/>
    </row>
    <row r="93" spans="1:14">
      <c r="A93" t="s">
        <v>144</v>
      </c>
      <c r="B93" t="s">
        <v>324</v>
      </c>
      <c r="C93" t="s">
        <v>325</v>
      </c>
      <c r="D93" t="s">
        <v>229</v>
      </c>
      <c r="E93" t="s">
        <v>148</v>
      </c>
      <c r="F93" s="416"/>
      <c r="G93" s="416"/>
      <c r="H93" s="416"/>
      <c r="I93" s="416">
        <v>1.6108517992101799E-4</v>
      </c>
      <c r="J93" s="416">
        <v>1.6080233984554001E-4</v>
      </c>
      <c r="K93" s="416">
        <v>1.6172967427065599E-4</v>
      </c>
      <c r="L93" s="416">
        <v>1.6000532733344099E-4</v>
      </c>
      <c r="M93" s="416">
        <v>1.7426870273814301E-4</v>
      </c>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-3.4251783211726198E-3</v>
      </c>
      <c r="J109" s="417">
        <v>0</v>
      </c>
      <c r="K109" s="417"/>
      <c r="L109" s="417"/>
      <c r="M109" s="417"/>
      <c r="N109" s="417"/>
    </row>
    <row r="110" spans="1:14">
      <c r="A110" t="s">
        <v>144</v>
      </c>
      <c r="B110" t="s">
        <v>357</v>
      </c>
      <c r="C110" t="s">
        <v>174</v>
      </c>
      <c r="D110" t="s">
        <v>147</v>
      </c>
      <c r="E110" t="s">
        <v>148</v>
      </c>
      <c r="F110" s="417"/>
      <c r="G110" s="417"/>
      <c r="H110" s="417"/>
      <c r="I110" s="417">
        <v>-0.16994402012634899</v>
      </c>
      <c r="J110" s="417">
        <v>0</v>
      </c>
      <c r="K110" s="417"/>
      <c r="L110" s="417"/>
      <c r="M110" s="417"/>
      <c r="N110" s="417"/>
    </row>
    <row r="111" spans="1:14">
      <c r="A111" t="s">
        <v>144</v>
      </c>
      <c r="B111" t="s">
        <v>358</v>
      </c>
      <c r="C111" t="s">
        <v>176</v>
      </c>
      <c r="D111" t="s">
        <v>147</v>
      </c>
      <c r="E111" t="s">
        <v>148</v>
      </c>
      <c r="F111" s="417"/>
      <c r="G111" s="417"/>
      <c r="H111" s="417"/>
      <c r="I111" s="417">
        <v>-0.150067669555878</v>
      </c>
      <c r="J111" s="417">
        <v>0</v>
      </c>
      <c r="K111" s="417"/>
      <c r="L111" s="417"/>
      <c r="M111" s="417"/>
      <c r="N111" s="417"/>
    </row>
    <row r="112" spans="1:14">
      <c r="A112" t="s">
        <v>144</v>
      </c>
      <c r="B112" t="s">
        <v>359</v>
      </c>
      <c r="C112" t="s">
        <v>178</v>
      </c>
      <c r="D112" t="s">
        <v>147</v>
      </c>
      <c r="E112" t="s">
        <v>148</v>
      </c>
      <c r="F112" s="417"/>
      <c r="G112" s="417"/>
      <c r="H112" s="417"/>
      <c r="I112" s="417">
        <v>0</v>
      </c>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v>0</v>
      </c>
      <c r="J118" s="417">
        <v>0</v>
      </c>
      <c r="K118" s="417"/>
      <c r="L118" s="417"/>
      <c r="M118" s="417"/>
      <c r="N118" s="417"/>
    </row>
    <row r="119" spans="1:14">
      <c r="A119" t="s">
        <v>144</v>
      </c>
      <c r="B119" t="s">
        <v>366</v>
      </c>
      <c r="C119" t="s">
        <v>192</v>
      </c>
      <c r="D119" t="s">
        <v>147</v>
      </c>
      <c r="E119" t="s">
        <v>148</v>
      </c>
      <c r="F119" s="417"/>
      <c r="G119" s="417"/>
      <c r="H119" s="417"/>
      <c r="I119" s="417">
        <v>0</v>
      </c>
      <c r="J119" s="417">
        <v>0</v>
      </c>
      <c r="K119" s="417"/>
      <c r="L119" s="417"/>
      <c r="M119" s="417"/>
      <c r="N119" s="417"/>
    </row>
    <row r="120" spans="1:14">
      <c r="A120" t="s">
        <v>144</v>
      </c>
      <c r="B120" t="s">
        <v>367</v>
      </c>
      <c r="C120" t="s">
        <v>194</v>
      </c>
      <c r="D120" t="s">
        <v>147</v>
      </c>
      <c r="E120" t="s">
        <v>148</v>
      </c>
      <c r="F120" s="417"/>
      <c r="G120" s="417"/>
      <c r="H120" s="417"/>
      <c r="I120" s="417">
        <v>0</v>
      </c>
      <c r="J120" s="417">
        <v>3.9E-2</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0</v>
      </c>
      <c r="J124" s="417">
        <v>0</v>
      </c>
      <c r="K124" s="417"/>
      <c r="L124" s="417"/>
      <c r="M124" s="417"/>
      <c r="N124" s="417"/>
    </row>
    <row r="125" spans="1:14">
      <c r="A125" t="s">
        <v>144</v>
      </c>
      <c r="B125" t="s">
        <v>372</v>
      </c>
      <c r="C125" t="s">
        <v>204</v>
      </c>
      <c r="D125" t="s">
        <v>147</v>
      </c>
      <c r="E125" t="s">
        <v>148</v>
      </c>
      <c r="F125" s="417"/>
      <c r="G125" s="417"/>
      <c r="H125" s="417"/>
      <c r="I125" s="417">
        <v>0</v>
      </c>
      <c r="J125" s="417">
        <v>0</v>
      </c>
      <c r="K125" s="417"/>
      <c r="L125" s="417"/>
      <c r="M125" s="417"/>
      <c r="N125" s="417"/>
    </row>
    <row r="126" spans="1:14">
      <c r="A126" t="s">
        <v>144</v>
      </c>
      <c r="B126" t="s">
        <v>373</v>
      </c>
      <c r="C126" t="s">
        <v>206</v>
      </c>
      <c r="D126" t="s">
        <v>147</v>
      </c>
      <c r="E126" t="s">
        <v>148</v>
      </c>
      <c r="F126" s="417"/>
      <c r="G126" s="417"/>
      <c r="H126" s="417"/>
      <c r="I126" s="417">
        <v>0</v>
      </c>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-0.275756</v>
      </c>
      <c r="J137" s="417">
        <v>-0.27995116666666697</v>
      </c>
      <c r="K137" s="417"/>
      <c r="L137" s="417"/>
      <c r="M137" s="417"/>
      <c r="N137" s="417"/>
    </row>
    <row r="138" spans="1:14">
      <c r="A138" t="s">
        <v>144</v>
      </c>
      <c r="B138" t="s">
        <v>386</v>
      </c>
      <c r="C138" t="s">
        <v>387</v>
      </c>
      <c r="D138" t="s">
        <v>147</v>
      </c>
      <c r="E138" t="s">
        <v>148</v>
      </c>
      <c r="F138" s="417"/>
      <c r="G138" s="417"/>
      <c r="H138" s="417"/>
      <c r="I138" s="417">
        <v>-0.14658099999999999</v>
      </c>
      <c r="J138" s="417">
        <v>-8.6188666666666705E-2</v>
      </c>
      <c r="K138" s="417"/>
      <c r="L138" s="417"/>
      <c r="M138" s="417"/>
      <c r="N138" s="417"/>
    </row>
    <row r="139" spans="1:14">
      <c r="A139" t="s">
        <v>144</v>
      </c>
      <c r="B139" t="s">
        <v>388</v>
      </c>
      <c r="C139" t="s">
        <v>389</v>
      </c>
      <c r="D139" t="s">
        <v>147</v>
      </c>
      <c r="E139" t="s">
        <v>148</v>
      </c>
      <c r="F139" s="417"/>
      <c r="G139" s="417"/>
      <c r="H139" s="417"/>
      <c r="I139" s="417">
        <v>-2.75117834588482E-2</v>
      </c>
      <c r="J139" s="417">
        <v>-1.9367160000000001E-2</v>
      </c>
      <c r="K139" s="417"/>
      <c r="L139" s="417"/>
      <c r="M139" s="417"/>
      <c r="N139" s="417"/>
    </row>
    <row r="140" spans="1:14">
      <c r="A140" t="s">
        <v>144</v>
      </c>
      <c r="B140" t="s">
        <v>390</v>
      </c>
      <c r="C140" t="s">
        <v>391</v>
      </c>
      <c r="D140" t="s">
        <v>147</v>
      </c>
      <c r="E140" t="s">
        <v>148</v>
      </c>
      <c r="F140" s="417"/>
      <c r="G140" s="417"/>
      <c r="H140" s="417"/>
      <c r="I140" s="417">
        <v>0</v>
      </c>
      <c r="J140" s="417">
        <v>0</v>
      </c>
      <c r="K140" s="417"/>
      <c r="L140" s="417"/>
      <c r="M140" s="417"/>
      <c r="N140" s="417"/>
    </row>
    <row r="141" spans="1:14">
      <c r="A141" t="s">
        <v>144</v>
      </c>
      <c r="B141" t="s">
        <v>392</v>
      </c>
      <c r="C141" t="s">
        <v>393</v>
      </c>
      <c r="D141" t="s">
        <v>147</v>
      </c>
      <c r="E141" t="s">
        <v>148</v>
      </c>
      <c r="F141" s="417"/>
      <c r="G141" s="417"/>
      <c r="H141" s="417"/>
      <c r="I141" s="417">
        <v>3.9E-2</v>
      </c>
      <c r="J141" s="417">
        <v>0</v>
      </c>
      <c r="K141" s="417"/>
      <c r="L141" s="417"/>
      <c r="M141" s="417"/>
      <c r="N141" s="417"/>
    </row>
    <row r="142" spans="1:14">
      <c r="A142" t="s">
        <v>144</v>
      </c>
      <c r="B142" t="s">
        <v>394</v>
      </c>
      <c r="C142" t="s">
        <v>395</v>
      </c>
      <c r="D142" t="s">
        <v>147</v>
      </c>
      <c r="E142" t="s">
        <v>148</v>
      </c>
      <c r="F142" s="417"/>
      <c r="G142" s="417"/>
      <c r="H142" s="417"/>
      <c r="I142" s="417">
        <v>-1.18E-2</v>
      </c>
      <c r="J142" s="417">
        <v>-1.77E-2</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-3.4375233698110699E-2</v>
      </c>
      <c r="J144" s="417">
        <v>-4.9094216759752701E-2</v>
      </c>
      <c r="K144" s="417"/>
      <c r="L144" s="417"/>
      <c r="M144" s="417"/>
      <c r="N144" s="417"/>
    </row>
    <row r="145" spans="1:14">
      <c r="A145" t="s">
        <v>144</v>
      </c>
      <c r="B145" t="s">
        <v>400</v>
      </c>
      <c r="C145" t="s">
        <v>401</v>
      </c>
      <c r="D145" t="s">
        <v>147</v>
      </c>
      <c r="E145" t="s">
        <v>148</v>
      </c>
      <c r="F145" s="417"/>
      <c r="G145" s="417"/>
      <c r="H145" s="417"/>
      <c r="I145" s="417">
        <v>3.2233450996518198E-2</v>
      </c>
      <c r="J145" s="417">
        <v>2.9760000000000002E-2</v>
      </c>
      <c r="K145" s="417"/>
      <c r="L145" s="417"/>
      <c r="M145" s="417"/>
      <c r="N145" s="417"/>
    </row>
    <row r="146" spans="1:14">
      <c r="A146" t="s">
        <v>144</v>
      </c>
      <c r="B146" t="s">
        <v>402</v>
      </c>
      <c r="C146" t="s">
        <v>403</v>
      </c>
      <c r="D146" t="s">
        <v>147</v>
      </c>
      <c r="E146" t="s">
        <v>148</v>
      </c>
      <c r="F146" s="417"/>
      <c r="G146" s="417"/>
      <c r="H146" s="417"/>
      <c r="I146" s="417">
        <v>1.26404641218888E-3</v>
      </c>
      <c r="J146" s="417">
        <v>4.4400000000000004E-3</v>
      </c>
      <c r="K146" s="417"/>
      <c r="L146" s="417"/>
      <c r="M146" s="417"/>
      <c r="N146" s="417"/>
    </row>
    <row r="147" spans="1:14">
      <c r="A147" t="s">
        <v>144</v>
      </c>
      <c r="B147" t="s">
        <v>404</v>
      </c>
      <c r="C147" t="s">
        <v>405</v>
      </c>
      <c r="D147" t="s">
        <v>229</v>
      </c>
      <c r="E147" t="s">
        <v>148</v>
      </c>
      <c r="F147" s="416"/>
      <c r="G147" s="416"/>
      <c r="H147" s="416"/>
      <c r="I147" s="416">
        <v>2.92E-2</v>
      </c>
      <c r="J147" s="416">
        <v>2.91957638201563E-2</v>
      </c>
      <c r="K147" s="416"/>
      <c r="L147" s="416"/>
      <c r="M147" s="416"/>
      <c r="N147" s="416"/>
    </row>
    <row r="148" spans="1:14">
      <c r="A148" t="s">
        <v>144</v>
      </c>
      <c r="B148" t="s">
        <v>406</v>
      </c>
      <c r="C148" t="s">
        <v>232</v>
      </c>
      <c r="D148" t="s">
        <v>229</v>
      </c>
      <c r="E148" t="s">
        <v>148</v>
      </c>
      <c r="F148" s="416"/>
      <c r="G148" s="416"/>
      <c r="H148" s="416"/>
      <c r="I148" s="416">
        <v>2.9600000000000001E-2</v>
      </c>
      <c r="J148" s="416">
        <v>2.9600000000000001E-2</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0.19</v>
      </c>
      <c r="L150" s="416">
        <v>0.19</v>
      </c>
      <c r="M150" s="416">
        <v>0.19</v>
      </c>
      <c r="N150" s="416"/>
    </row>
    <row r="151" spans="1:14">
      <c r="A151" t="s">
        <v>144</v>
      </c>
      <c r="B151" t="s">
        <v>411</v>
      </c>
      <c r="C151" t="s">
        <v>412</v>
      </c>
      <c r="D151" t="s">
        <v>237</v>
      </c>
      <c r="E151" t="s">
        <v>148</v>
      </c>
      <c r="F151" s="420">
        <v>104.7</v>
      </c>
      <c r="G151" s="420">
        <v>106.9</v>
      </c>
      <c r="H151" s="420">
        <v>108.5</v>
      </c>
      <c r="I151" s="420">
        <v>109.1</v>
      </c>
      <c r="J151" s="420">
        <v>114.1</v>
      </c>
      <c r="K151" s="420">
        <v>120.942989570896</v>
      </c>
      <c r="L151" s="420">
        <v>0</v>
      </c>
      <c r="M151" s="420">
        <v>0</v>
      </c>
      <c r="N151" s="420"/>
    </row>
    <row r="152" spans="1:14">
      <c r="A152" t="s">
        <v>144</v>
      </c>
      <c r="B152" t="s">
        <v>413</v>
      </c>
      <c r="C152" t="s">
        <v>414</v>
      </c>
      <c r="D152" t="s">
        <v>147</v>
      </c>
      <c r="E152" t="s">
        <v>148</v>
      </c>
      <c r="F152" s="417"/>
      <c r="G152" s="417"/>
      <c r="H152" s="417">
        <v>3.3090370155933999</v>
      </c>
      <c r="I152" s="417"/>
      <c r="J152" s="417"/>
      <c r="K152" s="417"/>
      <c r="L152" s="417"/>
      <c r="M152" s="417"/>
      <c r="N152" s="417"/>
    </row>
    <row r="153" spans="1:14">
      <c r="A153" t="s">
        <v>144</v>
      </c>
      <c r="B153" t="s">
        <v>415</v>
      </c>
      <c r="C153" t="s">
        <v>416</v>
      </c>
      <c r="D153" t="s">
        <v>237</v>
      </c>
      <c r="E153" t="s">
        <v>148</v>
      </c>
      <c r="F153" s="420"/>
      <c r="G153" s="420"/>
      <c r="H153" s="420"/>
      <c r="I153" s="420">
        <v>0</v>
      </c>
      <c r="J153" s="420">
        <v>-5.24</v>
      </c>
      <c r="K153" s="420">
        <v>-26.84</v>
      </c>
      <c r="L153" s="420">
        <v>-3.91</v>
      </c>
      <c r="M153" s="420">
        <v>1.45</v>
      </c>
      <c r="N153" s="420"/>
    </row>
    <row r="154" spans="1:14">
      <c r="A154" t="s">
        <v>144</v>
      </c>
      <c r="B154" t="s">
        <v>417</v>
      </c>
      <c r="C154" t="s">
        <v>418</v>
      </c>
      <c r="D154" t="s">
        <v>147</v>
      </c>
      <c r="E154" t="s">
        <v>148</v>
      </c>
      <c r="F154" s="417"/>
      <c r="G154" s="417"/>
      <c r="H154" s="417">
        <v>16.620240667520601</v>
      </c>
      <c r="I154" s="417"/>
      <c r="J154" s="417"/>
      <c r="K154" s="417"/>
      <c r="L154" s="417"/>
      <c r="M154" s="417"/>
      <c r="N154" s="417"/>
    </row>
    <row r="155" spans="1:14">
      <c r="A155" t="s">
        <v>144</v>
      </c>
      <c r="B155" t="s">
        <v>419</v>
      </c>
      <c r="C155" t="s">
        <v>420</v>
      </c>
      <c r="D155" t="s">
        <v>237</v>
      </c>
      <c r="E155" t="s">
        <v>148</v>
      </c>
      <c r="F155" s="420"/>
      <c r="G155" s="420"/>
      <c r="H155" s="420"/>
      <c r="I155" s="420">
        <v>0</v>
      </c>
      <c r="J155" s="420">
        <v>4.4199999999999902</v>
      </c>
      <c r="K155" s="420">
        <v>3.49</v>
      </c>
      <c r="L155" s="420">
        <v>2.2999999999999998</v>
      </c>
      <c r="M155" s="420">
        <v>-0.96</v>
      </c>
      <c r="N155" s="420"/>
    </row>
    <row r="156" spans="1:14">
      <c r="A156" t="s">
        <v>144</v>
      </c>
      <c r="B156" t="s">
        <v>421</v>
      </c>
      <c r="C156" t="s">
        <v>422</v>
      </c>
      <c r="D156" t="s">
        <v>147</v>
      </c>
      <c r="E156" t="s">
        <v>148</v>
      </c>
      <c r="F156" s="417"/>
      <c r="G156" s="417"/>
      <c r="H156" s="417">
        <v>2.62804816808374</v>
      </c>
      <c r="I156" s="417"/>
      <c r="J156" s="417"/>
      <c r="K156" s="417"/>
      <c r="L156" s="417"/>
      <c r="M156" s="417"/>
      <c r="N156" s="417"/>
    </row>
    <row r="157" spans="1:14">
      <c r="A157" t="s">
        <v>144</v>
      </c>
      <c r="B157" t="s">
        <v>423</v>
      </c>
      <c r="C157" t="s">
        <v>424</v>
      </c>
      <c r="D157" t="s">
        <v>237</v>
      </c>
      <c r="E157" t="s">
        <v>148</v>
      </c>
      <c r="F157" s="420"/>
      <c r="G157" s="420"/>
      <c r="H157" s="420"/>
      <c r="I157" s="420">
        <v>0</v>
      </c>
      <c r="J157" s="420">
        <v>1.5</v>
      </c>
      <c r="K157" s="420">
        <v>8.14</v>
      </c>
      <c r="L157" s="420">
        <v>3.95</v>
      </c>
      <c r="M157" s="420">
        <v>6.1799999999999899</v>
      </c>
      <c r="N157" s="420"/>
    </row>
    <row r="158" spans="1:14">
      <c r="A158" t="s">
        <v>144</v>
      </c>
      <c r="B158" t="s">
        <v>425</v>
      </c>
      <c r="C158" t="s">
        <v>426</v>
      </c>
      <c r="D158" t="s">
        <v>147</v>
      </c>
      <c r="E158" t="s">
        <v>148</v>
      </c>
      <c r="F158" s="417"/>
      <c r="G158" s="417"/>
      <c r="H158" s="417"/>
      <c r="I158" s="417"/>
      <c r="J158" s="417">
        <v>0.76106190516839001</v>
      </c>
      <c r="K158" s="417">
        <v>0.76857260337977495</v>
      </c>
      <c r="L158" s="417">
        <v>0.77608316916113596</v>
      </c>
      <c r="M158" s="417">
        <v>0.78359348722960698</v>
      </c>
      <c r="N158" s="417"/>
    </row>
    <row r="159" spans="1:14">
      <c r="A159" t="s">
        <v>144</v>
      </c>
      <c r="B159" t="s">
        <v>427</v>
      </c>
      <c r="C159" t="s">
        <v>428</v>
      </c>
      <c r="D159" t="s">
        <v>147</v>
      </c>
      <c r="E159" t="s">
        <v>148</v>
      </c>
      <c r="F159" s="417"/>
      <c r="G159" s="417"/>
      <c r="H159" s="417"/>
      <c r="I159" s="417"/>
      <c r="J159" s="417">
        <v>2.8614136733599498</v>
      </c>
      <c r="K159" s="417">
        <v>2.8882614481161699</v>
      </c>
      <c r="L159" s="417">
        <v>2.91717546677509</v>
      </c>
      <c r="M159" s="417">
        <v>2.9422311764084998</v>
      </c>
      <c r="N159" s="417"/>
    </row>
    <row r="160" spans="1:14">
      <c r="A160" t="s">
        <v>144</v>
      </c>
      <c r="B160" t="s">
        <v>429</v>
      </c>
      <c r="C160" t="s">
        <v>430</v>
      </c>
      <c r="D160" t="s">
        <v>291</v>
      </c>
      <c r="E160" t="s">
        <v>148</v>
      </c>
      <c r="F160" s="420"/>
      <c r="G160" s="420"/>
      <c r="H160" s="420"/>
      <c r="I160" s="420"/>
      <c r="J160" s="420"/>
      <c r="K160" s="420">
        <v>50.674296081747599</v>
      </c>
      <c r="L160" s="420">
        <v>51.891575217186698</v>
      </c>
      <c r="M160" s="420">
        <v>52.558561879673199</v>
      </c>
      <c r="N160" s="420"/>
    </row>
    <row r="161" spans="1:14">
      <c r="A161" t="s">
        <v>144</v>
      </c>
      <c r="B161" t="s">
        <v>431</v>
      </c>
      <c r="C161" t="s">
        <v>432</v>
      </c>
      <c r="D161" t="s">
        <v>291</v>
      </c>
      <c r="E161" t="s">
        <v>148</v>
      </c>
      <c r="F161" s="420"/>
      <c r="G161" s="420"/>
      <c r="H161" s="420"/>
      <c r="I161" s="420"/>
      <c r="J161" s="420"/>
      <c r="K161" s="420">
        <v>178.89332068841901</v>
      </c>
      <c r="L161" s="420">
        <v>184.448031563591</v>
      </c>
      <c r="M161" s="420">
        <v>187.96881536225899</v>
      </c>
      <c r="N161" s="420"/>
    </row>
    <row r="162" spans="1:14">
      <c r="A162" t="s">
        <v>144</v>
      </c>
      <c r="B162" t="s">
        <v>433</v>
      </c>
      <c r="C162" t="s">
        <v>434</v>
      </c>
      <c r="D162" t="s">
        <v>291</v>
      </c>
      <c r="E162" t="s">
        <v>148</v>
      </c>
      <c r="F162" s="420"/>
      <c r="G162" s="420"/>
      <c r="H162" s="420"/>
      <c r="I162" s="420"/>
      <c r="J162" s="420"/>
      <c r="K162" s="420">
        <v>0</v>
      </c>
      <c r="L162" s="420">
        <v>0</v>
      </c>
      <c r="M162" s="420">
        <v>0</v>
      </c>
      <c r="N162" s="420"/>
    </row>
    <row r="163" spans="1:14">
      <c r="A163" t="s">
        <v>144</v>
      </c>
      <c r="B163" t="s">
        <v>435</v>
      </c>
      <c r="C163" t="s">
        <v>436</v>
      </c>
      <c r="D163" t="s">
        <v>291</v>
      </c>
      <c r="E163" t="s">
        <v>148</v>
      </c>
      <c r="F163" s="420"/>
      <c r="G163" s="420"/>
      <c r="H163" s="420"/>
      <c r="I163" s="420"/>
      <c r="J163" s="420"/>
      <c r="K163" s="420">
        <v>44.491569948501301</v>
      </c>
      <c r="L163" s="420">
        <v>45.0788803712583</v>
      </c>
      <c r="M163" s="420">
        <v>45.090559205572802</v>
      </c>
      <c r="N163" s="420"/>
    </row>
    <row r="164" spans="1:14">
      <c r="A164" t="s">
        <v>144</v>
      </c>
      <c r="B164" t="s">
        <v>437</v>
      </c>
      <c r="C164" t="s">
        <v>438</v>
      </c>
      <c r="D164" t="s">
        <v>291</v>
      </c>
      <c r="E164" t="s">
        <v>148</v>
      </c>
      <c r="F164" s="420"/>
      <c r="G164" s="420"/>
      <c r="H164" s="420"/>
      <c r="I164" s="420"/>
      <c r="J164" s="420"/>
      <c r="K164" s="420">
        <v>192.68959071951701</v>
      </c>
      <c r="L164" s="420">
        <v>199.48476856833901</v>
      </c>
      <c r="M164" s="420">
        <v>203.83556133843501</v>
      </c>
      <c r="N164" s="420"/>
    </row>
    <row r="165" spans="1:14">
      <c r="A165" t="s">
        <v>144</v>
      </c>
      <c r="B165" t="s">
        <v>439</v>
      </c>
      <c r="C165" t="s">
        <v>440</v>
      </c>
      <c r="D165" t="s">
        <v>291</v>
      </c>
      <c r="E165" t="s">
        <v>148</v>
      </c>
      <c r="F165" s="420"/>
      <c r="G165" s="420"/>
      <c r="H165" s="420"/>
      <c r="I165" s="420"/>
      <c r="J165" s="420"/>
      <c r="K165" s="420">
        <v>61.694236755713199</v>
      </c>
      <c r="L165" s="420">
        <v>63.248575870313701</v>
      </c>
      <c r="M165" s="420">
        <v>64.203218270057903</v>
      </c>
      <c r="N165" s="420"/>
    </row>
    <row r="166" spans="1:14">
      <c r="A166" t="s">
        <v>144</v>
      </c>
      <c r="B166" t="s">
        <v>441</v>
      </c>
      <c r="C166" t="s">
        <v>442</v>
      </c>
      <c r="D166" t="s">
        <v>237</v>
      </c>
      <c r="E166" t="s">
        <v>148</v>
      </c>
      <c r="F166" s="418"/>
      <c r="G166" s="418"/>
      <c r="H166" s="418"/>
      <c r="I166" s="418"/>
      <c r="J166" s="418"/>
      <c r="K166" s="418">
        <v>7047</v>
      </c>
      <c r="L166" s="418">
        <v>7066</v>
      </c>
      <c r="M166" s="418">
        <v>7086</v>
      </c>
      <c r="N166" s="418"/>
    </row>
    <row r="167" spans="1:14">
      <c r="A167" t="s">
        <v>144</v>
      </c>
      <c r="B167" t="s">
        <v>443</v>
      </c>
      <c r="C167" t="s">
        <v>444</v>
      </c>
      <c r="D167" t="s">
        <v>237</v>
      </c>
      <c r="E167" t="s">
        <v>148</v>
      </c>
      <c r="F167" s="418"/>
      <c r="G167" s="418"/>
      <c r="H167" s="418"/>
      <c r="I167" s="418"/>
      <c r="J167" s="418"/>
      <c r="K167" s="418">
        <v>85</v>
      </c>
      <c r="L167" s="418">
        <v>85</v>
      </c>
      <c r="M167" s="418">
        <v>85</v>
      </c>
      <c r="N167" s="418"/>
    </row>
    <row r="168" spans="1:14">
      <c r="A168" t="s">
        <v>144</v>
      </c>
      <c r="B168" t="s">
        <v>445</v>
      </c>
      <c r="C168" t="s">
        <v>446</v>
      </c>
      <c r="D168" t="s">
        <v>237</v>
      </c>
      <c r="E168" t="s">
        <v>148</v>
      </c>
      <c r="F168" s="418"/>
      <c r="G168" s="418"/>
      <c r="H168" s="418"/>
      <c r="I168" s="418"/>
      <c r="J168" s="418"/>
      <c r="K168" s="418">
        <v>0</v>
      </c>
      <c r="L168" s="418">
        <v>0</v>
      </c>
      <c r="M168" s="418">
        <v>0</v>
      </c>
      <c r="N168" s="418"/>
    </row>
    <row r="169" spans="1:14">
      <c r="A169" t="s">
        <v>144</v>
      </c>
      <c r="B169" t="s">
        <v>447</v>
      </c>
      <c r="C169" t="s">
        <v>448</v>
      </c>
      <c r="D169" t="s">
        <v>237</v>
      </c>
      <c r="E169" t="s">
        <v>148</v>
      </c>
      <c r="F169" s="418"/>
      <c r="G169" s="418"/>
      <c r="H169" s="418"/>
      <c r="I169" s="418"/>
      <c r="J169" s="418"/>
      <c r="K169" s="418">
        <v>920</v>
      </c>
      <c r="L169" s="418">
        <v>933</v>
      </c>
      <c r="M169" s="418">
        <v>948</v>
      </c>
      <c r="N169" s="418"/>
    </row>
    <row r="170" spans="1:14">
      <c r="A170" t="s">
        <v>144</v>
      </c>
      <c r="B170" t="s">
        <v>449</v>
      </c>
      <c r="C170" t="s">
        <v>450</v>
      </c>
      <c r="D170" t="s">
        <v>237</v>
      </c>
      <c r="E170" t="s">
        <v>148</v>
      </c>
      <c r="F170" s="418"/>
      <c r="G170" s="418"/>
      <c r="H170" s="418"/>
      <c r="I170" s="418"/>
      <c r="J170" s="418"/>
      <c r="K170" s="418">
        <v>22</v>
      </c>
      <c r="L170" s="418">
        <v>22</v>
      </c>
      <c r="M170" s="418">
        <v>22</v>
      </c>
      <c r="N170" s="418"/>
    </row>
    <row r="171" spans="1:14">
      <c r="A171" t="s">
        <v>144</v>
      </c>
      <c r="B171" t="s">
        <v>451</v>
      </c>
      <c r="C171" t="s">
        <v>452</v>
      </c>
      <c r="D171" t="s">
        <v>237</v>
      </c>
      <c r="E171" t="s">
        <v>148</v>
      </c>
      <c r="F171" s="418"/>
      <c r="G171" s="418"/>
      <c r="H171" s="418"/>
      <c r="I171" s="418"/>
      <c r="J171" s="418"/>
      <c r="K171" s="418">
        <v>1</v>
      </c>
      <c r="L171" s="418">
        <v>1</v>
      </c>
      <c r="M171" s="418">
        <v>1</v>
      </c>
      <c r="N171" s="418"/>
    </row>
    <row r="172" spans="1:14">
      <c r="A172" t="s">
        <v>144</v>
      </c>
      <c r="B172" t="s">
        <v>453</v>
      </c>
      <c r="C172" t="s">
        <v>454</v>
      </c>
      <c r="D172" t="s">
        <v>229</v>
      </c>
      <c r="E172" t="s">
        <v>148</v>
      </c>
      <c r="F172" s="416"/>
      <c r="G172" s="416"/>
      <c r="H172" s="416"/>
      <c r="I172" s="416"/>
      <c r="J172" s="416"/>
      <c r="K172" s="416">
        <v>0.83145540551152597</v>
      </c>
      <c r="L172" s="416">
        <v>0.830645898470455</v>
      </c>
      <c r="M172" s="416">
        <v>0.82988346798289703</v>
      </c>
      <c r="N172" s="416"/>
    </row>
    <row r="173" spans="1:14">
      <c r="A173" t="s">
        <v>144</v>
      </c>
      <c r="B173" t="s">
        <v>455</v>
      </c>
      <c r="C173" t="s">
        <v>456</v>
      </c>
      <c r="D173" t="s">
        <v>229</v>
      </c>
      <c r="E173" t="s">
        <v>148</v>
      </c>
      <c r="F173" s="416"/>
      <c r="G173" s="416"/>
      <c r="H173" s="416"/>
      <c r="I173" s="416"/>
      <c r="J173" s="416"/>
      <c r="K173" s="416">
        <v>4.9930677612477201E-2</v>
      </c>
      <c r="L173" s="416">
        <v>5.0210883159421502E-2</v>
      </c>
      <c r="M173" s="416">
        <v>5.0363109437463999E-2</v>
      </c>
      <c r="N173" s="416"/>
    </row>
    <row r="174" spans="1:14">
      <c r="A174" t="s">
        <v>144</v>
      </c>
      <c r="B174" t="s">
        <v>457</v>
      </c>
      <c r="C174" t="s">
        <v>458</v>
      </c>
      <c r="D174" t="s">
        <v>229</v>
      </c>
      <c r="E174" t="s">
        <v>148</v>
      </c>
      <c r="F174" s="416"/>
      <c r="G174" s="416"/>
      <c r="H174" s="416"/>
      <c r="I174" s="416"/>
      <c r="J174" s="416"/>
      <c r="K174" s="416">
        <v>0</v>
      </c>
      <c r="L174" s="416">
        <v>0</v>
      </c>
      <c r="M174" s="416">
        <v>0</v>
      </c>
      <c r="N174" s="416"/>
    </row>
    <row r="175" spans="1:14">
      <c r="A175" t="s">
        <v>144</v>
      </c>
      <c r="B175" t="s">
        <v>459</v>
      </c>
      <c r="C175" t="s">
        <v>460</v>
      </c>
      <c r="D175" t="s">
        <v>229</v>
      </c>
      <c r="E175" t="s">
        <v>148</v>
      </c>
      <c r="F175" s="416"/>
      <c r="G175" s="416"/>
      <c r="H175" s="416"/>
      <c r="I175" s="416"/>
      <c r="J175" s="416"/>
      <c r="K175" s="416">
        <v>0.104749441585418</v>
      </c>
      <c r="L175" s="416">
        <v>0.10508650122248001</v>
      </c>
      <c r="M175" s="416">
        <v>0.105499510367024</v>
      </c>
      <c r="N175" s="416"/>
    </row>
    <row r="176" spans="1:14">
      <c r="A176" t="s">
        <v>144</v>
      </c>
      <c r="B176" t="s">
        <v>461</v>
      </c>
      <c r="C176" t="s">
        <v>462</v>
      </c>
      <c r="D176" t="s">
        <v>229</v>
      </c>
      <c r="E176" t="s">
        <v>148</v>
      </c>
      <c r="F176" s="416"/>
      <c r="G176" s="416"/>
      <c r="H176" s="416"/>
      <c r="I176" s="416"/>
      <c r="J176" s="416"/>
      <c r="K176" s="416">
        <v>1.3702745616307899E-2</v>
      </c>
      <c r="L176" s="416">
        <v>1.38967118203103E-2</v>
      </c>
      <c r="M176" s="416">
        <v>1.40796435098746E-2</v>
      </c>
      <c r="N176" s="416"/>
    </row>
    <row r="177" spans="1:14">
      <c r="A177" t="s">
        <v>144</v>
      </c>
      <c r="B177" t="s">
        <v>463</v>
      </c>
      <c r="C177" t="s">
        <v>464</v>
      </c>
      <c r="D177" t="s">
        <v>229</v>
      </c>
      <c r="E177" t="s">
        <v>148</v>
      </c>
      <c r="F177" s="416"/>
      <c r="G177" s="416"/>
      <c r="H177" s="416"/>
      <c r="I177" s="416"/>
      <c r="J177" s="416"/>
      <c r="K177" s="416">
        <v>1.6172967427065599E-4</v>
      </c>
      <c r="L177" s="416">
        <v>1.6000532733344099E-4</v>
      </c>
      <c r="M177" s="416">
        <v>1.7426870273814301E-4</v>
      </c>
      <c r="N177" s="416"/>
    </row>
    <row r="178" spans="1:14">
      <c r="A178" t="s">
        <v>144</v>
      </c>
      <c r="B178" t="s">
        <v>465</v>
      </c>
      <c r="C178" t="s">
        <v>466</v>
      </c>
      <c r="D178" t="s">
        <v>147</v>
      </c>
      <c r="E178" t="s">
        <v>148</v>
      </c>
      <c r="F178" s="417"/>
      <c r="G178" s="417"/>
      <c r="H178" s="417">
        <v>0</v>
      </c>
      <c r="I178" s="417"/>
      <c r="J178" s="417"/>
      <c r="K178" s="417"/>
      <c r="L178" s="417"/>
      <c r="M178" s="417"/>
      <c r="N178" s="417"/>
    </row>
    <row r="179" spans="1:14">
      <c r="A179" t="s">
        <v>144</v>
      </c>
      <c r="B179" t="s">
        <v>467</v>
      </c>
      <c r="C179" t="s">
        <v>468</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Hafren Dyfrdwy</v>
      </c>
      <c r="G1" s="332"/>
    </row>
    <row r="2" spans="1:7"/>
    <row r="3" spans="1:7">
      <c r="A3" s="5" t="s">
        <v>469</v>
      </c>
      <c r="B3" s="5" t="s">
        <v>470</v>
      </c>
      <c r="C3" s="5" t="s">
        <v>128</v>
      </c>
      <c r="D3" s="5" t="s">
        <v>471</v>
      </c>
      <c r="E3" s="5" t="s">
        <v>472</v>
      </c>
      <c r="F3" s="333"/>
      <c r="G3" s="333"/>
    </row>
    <row r="4" spans="1:7" ht="60.75">
      <c r="A4" s="6" t="s">
        <v>473</v>
      </c>
      <c r="B4" s="6" t="s">
        <v>474</v>
      </c>
      <c r="C4" s="6" t="s">
        <v>474</v>
      </c>
      <c r="D4" s="6"/>
      <c r="E4" s="6"/>
    </row>
    <row r="5" spans="1:7">
      <c r="A5" s="6" t="s">
        <v>137</v>
      </c>
      <c r="B5" s="6" t="s">
        <v>475</v>
      </c>
      <c r="C5" s="6" t="s">
        <v>476</v>
      </c>
      <c r="D5" s="6" t="b">
        <v>1</v>
      </c>
      <c r="E5" s="6" t="s">
        <v>477</v>
      </c>
      <c r="F5" s="333"/>
      <c r="G5" s="333"/>
    </row>
    <row r="6" spans="1:7">
      <c r="A6" s="6" t="s">
        <v>138</v>
      </c>
      <c r="B6" s="6" t="s">
        <v>478</v>
      </c>
      <c r="C6" s="6" t="s">
        <v>479</v>
      </c>
      <c r="D6" s="6" t="b">
        <v>0</v>
      </c>
      <c r="E6" s="6" t="s">
        <v>480</v>
      </c>
      <c r="F6" s="333"/>
      <c r="G6" s="333"/>
    </row>
    <row r="7" spans="1:7">
      <c r="A7" s="6" t="s">
        <v>139</v>
      </c>
      <c r="B7" s="6" t="s">
        <v>481</v>
      </c>
      <c r="C7" s="6" t="s">
        <v>144</v>
      </c>
      <c r="D7" s="6"/>
      <c r="E7" s="6"/>
    </row>
    <row r="8" spans="1:7">
      <c r="A8" s="6" t="s">
        <v>140</v>
      </c>
      <c r="B8" s="6" t="s">
        <v>482</v>
      </c>
      <c r="C8" s="6" t="s">
        <v>483</v>
      </c>
      <c r="D8" s="334"/>
      <c r="E8" s="334"/>
    </row>
    <row r="9" spans="1:7">
      <c r="A9" s="6" t="s">
        <v>141</v>
      </c>
      <c r="B9" s="6" t="s">
        <v>484</v>
      </c>
      <c r="C9" s="6" t="s">
        <v>485</v>
      </c>
      <c r="D9" s="335"/>
      <c r="E9" s="335"/>
    </row>
    <row r="10" spans="1:7">
      <c r="A10" s="6" t="s">
        <v>142</v>
      </c>
      <c r="B10" s="6" t="s">
        <v>486</v>
      </c>
      <c r="C10" s="6" t="s">
        <v>487</v>
      </c>
      <c r="D10" s="335"/>
      <c r="E10" s="335"/>
    </row>
    <row r="11" spans="1:7">
      <c r="A11" s="110"/>
      <c r="B11" s="6" t="s">
        <v>488</v>
      </c>
      <c r="C11" s="6" t="s">
        <v>489</v>
      </c>
      <c r="D11" s="335"/>
      <c r="E11" s="335"/>
    </row>
    <row r="12" spans="1:7">
      <c r="A12" s="109"/>
      <c r="B12" s="6" t="s">
        <v>490</v>
      </c>
      <c r="C12" s="6" t="s">
        <v>491</v>
      </c>
      <c r="D12" s="335"/>
      <c r="E12" s="335"/>
    </row>
    <row r="13" spans="1:7">
      <c r="A13" s="109"/>
      <c r="B13" s="6" t="s">
        <v>492</v>
      </c>
      <c r="C13" s="6" t="s">
        <v>493</v>
      </c>
      <c r="D13" s="335"/>
      <c r="E13" s="335"/>
    </row>
    <row r="14" spans="1:7">
      <c r="A14" s="109"/>
      <c r="B14" s="6" t="s">
        <v>492</v>
      </c>
      <c r="C14" s="6" t="s">
        <v>494</v>
      </c>
      <c r="D14" s="335"/>
      <c r="E14" s="335"/>
    </row>
    <row r="15" spans="1:7">
      <c r="A15" s="109"/>
      <c r="B15" s="6" t="s">
        <v>495</v>
      </c>
      <c r="C15" s="6" t="s">
        <v>496</v>
      </c>
      <c r="D15" s="335"/>
      <c r="E15" s="335"/>
    </row>
    <row r="16" spans="1:7">
      <c r="A16" s="109"/>
      <c r="B16" s="6" t="s">
        <v>497</v>
      </c>
      <c r="C16" s="6" t="s">
        <v>498</v>
      </c>
      <c r="D16" s="335"/>
      <c r="E16" s="335"/>
    </row>
    <row r="17" spans="1:5">
      <c r="A17" s="109"/>
      <c r="B17" s="6" t="s">
        <v>499</v>
      </c>
      <c r="C17" s="6" t="s">
        <v>500</v>
      </c>
      <c r="D17" s="335"/>
      <c r="E17" s="335"/>
    </row>
    <row r="18" spans="1:5">
      <c r="A18" s="109"/>
      <c r="B18" s="6" t="s">
        <v>501</v>
      </c>
      <c r="C18" s="6" t="s">
        <v>502</v>
      </c>
      <c r="D18" s="335"/>
      <c r="E18" s="335"/>
    </row>
    <row r="19" spans="1:5">
      <c r="A19" s="109"/>
      <c r="B19" s="6" t="s">
        <v>503</v>
      </c>
      <c r="C19" s="6" t="s">
        <v>504</v>
      </c>
      <c r="D19" s="335"/>
      <c r="E19" s="335"/>
    </row>
    <row r="20" spans="1:5">
      <c r="A20" s="109"/>
      <c r="B20" s="6" t="s">
        <v>505</v>
      </c>
      <c r="C20" s="6" t="s">
        <v>506</v>
      </c>
      <c r="D20" s="335"/>
      <c r="E20" s="335"/>
    </row>
    <row r="21" spans="1:5">
      <c r="A21" s="109"/>
      <c r="B21" s="6" t="s">
        <v>507</v>
      </c>
      <c r="C21" s="6" t="s">
        <v>508</v>
      </c>
      <c r="D21" s="335"/>
      <c r="E21" s="335"/>
    </row>
    <row r="22" spans="1:5">
      <c r="A22" s="109"/>
      <c r="B22" s="6" t="s">
        <v>509</v>
      </c>
      <c r="C22" s="6" t="s">
        <v>510</v>
      </c>
      <c r="D22" s="335"/>
      <c r="E22" s="335"/>
    </row>
    <row r="23" spans="1:5"/>
    <row r="24" spans="1:5" s="212" customFormat="1" ht="13.5">
      <c r="A24" s="212" t="s">
        <v>511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Hafren Dyfrdwy</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Hafren Dyfrdwy</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HDD</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-0.27995116666666697</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-8.6188666666666705E-2</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-1.9367160000000001E-2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3.9E-2</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-1.77E-2</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-4.5691509589905199E-2</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2.7768725939504999E-2</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4.1429147571035701E-3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537</v>
      </c>
      <c r="F51" s="265">
        <f xml:space="preserve"> INDEX(F_Inputs!$A$1:$N$179,MATCH(A51,F_Inputs!$B:$B,0),MATCH($F$12,F_Inputs!$A$6:$N$6,1))</f>
        <v>3.9E-2</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-2.1399643491277001E-3</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-8.4472276939251195E-5</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2.20582827356262E-3</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2.91957638201563E-2</v>
      </c>
      <c r="G79" s="184" t="s">
        <v>552</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552</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555</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556</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557</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558</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559</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560</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561</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562</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563</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564</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565</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566</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68">
        <f>(F_Inputs!I62*((AVERAGE(F_Inputs!$I$50:$I$61)/AVERAGE(F_Inputs!$F$50:$F$61))))/((F_Inputs!$H$57/F_Inputs!$G$57))</f>
        <v>3.3090370155933995</v>
      </c>
      <c r="O105" s="156"/>
      <c r="P105" s="156"/>
      <c r="Q105" s="156"/>
      <c r="R105" s="156"/>
      <c r="S105" s="156"/>
      <c r="T105" s="156"/>
    </row>
    <row r="106" spans="1:20" s="89" customFormat="1">
      <c r="A106" s="428" t="str">
        <f>F_Inputs!B64</f>
        <v>C_PR19FM0601POST_PD020_OUT</v>
      </c>
      <c r="D106" s="194"/>
      <c r="E106" s="97" t="s">
        <v>416</v>
      </c>
      <c r="F106" s="97"/>
      <c r="G106" s="97" t="s">
        <v>553</v>
      </c>
      <c r="H106" s="97"/>
      <c r="J106" s="195"/>
      <c r="K106" s="195"/>
      <c r="L106" s="195"/>
      <c r="M106" s="195"/>
      <c r="N106" s="195"/>
      <c r="O106" s="192">
        <f xml:space="preserve"> F_Inputs!I64</f>
        <v>0</v>
      </c>
      <c r="P106" s="192">
        <f xml:space="preserve"> F_Inputs!J64</f>
        <v>-5.24</v>
      </c>
      <c r="Q106" s="192">
        <f xml:space="preserve"> F_Inputs!K64</f>
        <v>-38.75</v>
      </c>
      <c r="R106" s="192">
        <f xml:space="preserve"> F_Inputs!L64</f>
        <v>13.85</v>
      </c>
      <c r="S106" s="192">
        <f xml:space="preserve"> F_Inputs!M64</f>
        <v>1.45</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418</v>
      </c>
      <c r="F109" s="184"/>
      <c r="G109" s="184" t="s">
        <v>569</v>
      </c>
      <c r="H109" s="184"/>
      <c r="I109" s="184"/>
      <c r="J109" s="156"/>
      <c r="K109" s="156"/>
      <c r="L109" s="156"/>
      <c r="M109" s="156"/>
      <c r="N109" s="268">
        <f>(F_Inputs!I65*((AVERAGE(F_Inputs!$I$50:$I$61)/AVERAGE(F_Inputs!$F$50:$F$61))))/((F_Inputs!$H$57/F_Inputs!$G$57))</f>
        <v>16.620240667520576</v>
      </c>
      <c r="O109" s="243"/>
      <c r="P109" s="243"/>
      <c r="Q109" s="243"/>
      <c r="R109" s="243"/>
      <c r="S109" s="243"/>
      <c r="T109" s="156"/>
    </row>
    <row r="110" spans="1:20" s="89" customFormat="1">
      <c r="A110" s="428" t="str">
        <f>F_Inputs!B67</f>
        <v>C_PR19FM0603POST_PD020_OUT</v>
      </c>
      <c r="D110" s="194"/>
      <c r="E110" s="97" t="s">
        <v>420</v>
      </c>
      <c r="F110" s="97"/>
      <c r="G110" s="97" t="s">
        <v>553</v>
      </c>
      <c r="H110" s="97"/>
      <c r="J110" s="195"/>
      <c r="K110" s="195"/>
      <c r="L110" s="195"/>
      <c r="M110" s="195"/>
      <c r="N110" s="195"/>
      <c r="O110" s="192">
        <f xml:space="preserve"> F_Inputs!I67</f>
        <v>0</v>
      </c>
      <c r="P110" s="192">
        <f xml:space="preserve"> F_Inputs!J67</f>
        <v>4.4199999999999902</v>
      </c>
      <c r="Q110" s="192">
        <f xml:space="preserve"> F_Inputs!K67</f>
        <v>1.3</v>
      </c>
      <c r="R110" s="192">
        <f xml:space="preserve"> F_Inputs!L67</f>
        <v>4.45</v>
      </c>
      <c r="S110" s="192">
        <f xml:space="preserve"> F_Inputs!M67</f>
        <v>-0.96</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422</v>
      </c>
      <c r="F113" s="184"/>
      <c r="G113" s="184" t="s">
        <v>569</v>
      </c>
      <c r="H113" s="184"/>
      <c r="I113" s="184"/>
      <c r="J113" s="156"/>
      <c r="K113" s="156"/>
      <c r="L113" s="156"/>
      <c r="M113" s="156"/>
      <c r="N113" s="268">
        <f>(F_Inputs!I68*((AVERAGE(F_Inputs!$I$50:$I$61)/AVERAGE(F_Inputs!$F$50:$F$61))))/((F_Inputs!$H$57/F_Inputs!$G$57))</f>
        <v>2.6280481680837418</v>
      </c>
      <c r="O113" s="243"/>
      <c r="P113" s="243"/>
      <c r="Q113" s="243"/>
      <c r="R113" s="243"/>
      <c r="S113" s="243"/>
      <c r="T113" s="156"/>
    </row>
    <row r="114" spans="1:20" s="89" customFormat="1">
      <c r="A114" s="428" t="str">
        <f>F_Inputs!B70</f>
        <v>C_PR19FM0607POST_PD020_OUT</v>
      </c>
      <c r="D114" s="194"/>
      <c r="E114" s="97" t="s">
        <v>424</v>
      </c>
      <c r="F114" s="97"/>
      <c r="G114" s="97" t="s">
        <v>553</v>
      </c>
      <c r="H114" s="97"/>
      <c r="J114" s="195"/>
      <c r="K114" s="195"/>
      <c r="L114" s="195"/>
      <c r="M114" s="195"/>
      <c r="N114" s="195"/>
      <c r="O114" s="192">
        <f xml:space="preserve"> F_Inputs!I70</f>
        <v>0</v>
      </c>
      <c r="P114" s="192">
        <f xml:space="preserve"> F_Inputs!J70</f>
        <v>1.5</v>
      </c>
      <c r="Q114" s="192">
        <f xml:space="preserve"> F_Inputs!K70</f>
        <v>-0.82</v>
      </c>
      <c r="R114" s="192">
        <f xml:space="preserve"> F_Inputs!L70</f>
        <v>13.05</v>
      </c>
      <c r="S114" s="192">
        <f xml:space="preserve"> F_Inputs!M70</f>
        <v>6.18</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426</v>
      </c>
      <c r="F117" s="157"/>
      <c r="G117" s="157" t="str">
        <f>F15</f>
        <v>£m (2017-18 FYA CPIH prices)</v>
      </c>
      <c r="H117" s="157"/>
      <c r="I117" s="184"/>
      <c r="J117" s="156"/>
      <c r="K117" s="156"/>
      <c r="L117" s="156"/>
      <c r="M117" s="156"/>
      <c r="N117" s="156"/>
      <c r="O117" s="243"/>
      <c r="P117" s="268">
        <f xml:space="preserve"> F_Inputs!J73</f>
        <v>0.76106190516839001</v>
      </c>
      <c r="Q117" s="268">
        <f xml:space="preserve"> F_Inputs!K73</f>
        <v>0.76857260337977495</v>
      </c>
      <c r="R117" s="268">
        <f xml:space="preserve"> F_Inputs!L73</f>
        <v>0.77608316916113596</v>
      </c>
      <c r="S117" s="268">
        <f xml:space="preserve"> F_Inputs!M73</f>
        <v>0.78359348722960698</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428</v>
      </c>
      <c r="F120" s="157"/>
      <c r="G120" s="157" t="s">
        <v>569</v>
      </c>
      <c r="H120" s="157"/>
      <c r="I120" s="184"/>
      <c r="J120" s="156"/>
      <c r="K120" s="156"/>
      <c r="L120" s="156"/>
      <c r="M120" s="156"/>
      <c r="N120" s="156"/>
      <c r="O120" s="243"/>
      <c r="P120" s="268">
        <f xml:space="preserve"> F_Inputs!J75</f>
        <v>2.8614136733599498</v>
      </c>
      <c r="Q120" s="268">
        <f xml:space="preserve"> F_Inputs!K75</f>
        <v>2.8941410726455299</v>
      </c>
      <c r="R120" s="268">
        <f xml:space="preserve"> F_Inputs!L75</f>
        <v>2.91717546677509</v>
      </c>
      <c r="S120" s="268">
        <f xml:space="preserve"> F_Inputs!M75</f>
        <v>2.9422311764084998</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430</v>
      </c>
      <c r="F123" s="184"/>
      <c r="G123" s="184" t="s">
        <v>570</v>
      </c>
      <c r="H123" s="184"/>
      <c r="I123" s="184"/>
      <c r="J123" s="156"/>
      <c r="K123" s="156"/>
      <c r="L123" s="156"/>
      <c r="M123" s="156"/>
      <c r="N123" s="156"/>
      <c r="O123" s="156"/>
      <c r="P123" s="156"/>
      <c r="Q123" s="164">
        <f xml:space="preserve"> F_Inputs!K76</f>
        <v>48.773120224721602</v>
      </c>
      <c r="R123" s="164">
        <f xml:space="preserve"> F_Inputs!L76</f>
        <v>51.891575217186698</v>
      </c>
      <c r="S123" s="164">
        <f xml:space="preserve"> F_Inputs!M76</f>
        <v>52.558561879673199</v>
      </c>
      <c r="T123" s="156"/>
    </row>
    <row r="124" spans="1:20" s="183" customFormat="1">
      <c r="A124" s="264" t="str">
        <f>F_Inputs!B77</f>
        <v>PR19FM2411POST</v>
      </c>
      <c r="B124" s="184"/>
      <c r="C124" s="184"/>
      <c r="D124" s="189"/>
      <c r="E124" s="184" t="s">
        <v>432</v>
      </c>
      <c r="F124" s="157"/>
      <c r="G124" s="184" t="s">
        <v>570</v>
      </c>
      <c r="H124" s="157"/>
      <c r="I124" s="184"/>
      <c r="J124" s="156"/>
      <c r="K124" s="156"/>
      <c r="L124" s="156"/>
      <c r="M124" s="156"/>
      <c r="N124" s="156"/>
      <c r="O124" s="156"/>
      <c r="P124" s="156"/>
      <c r="Q124" s="164">
        <f xml:space="preserve"> F_Inputs!K77</f>
        <v>169.42798250839101</v>
      </c>
      <c r="R124" s="164">
        <f xml:space="preserve"> F_Inputs!L77</f>
        <v>184.448031563591</v>
      </c>
      <c r="S124" s="164">
        <f xml:space="preserve"> F_Inputs!M77</f>
        <v>187.96881536225899</v>
      </c>
      <c r="T124" s="156"/>
    </row>
    <row r="125" spans="1:20" s="183" customFormat="1">
      <c r="A125" s="264" t="str">
        <f>F_Inputs!B78</f>
        <v>PR19FM2412POST</v>
      </c>
      <c r="B125" s="184"/>
      <c r="C125" s="184"/>
      <c r="D125" s="189"/>
      <c r="E125" s="184" t="s">
        <v>434</v>
      </c>
      <c r="F125" s="157"/>
      <c r="G125" s="184" t="s">
        <v>570</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436</v>
      </c>
      <c r="F126" s="157"/>
      <c r="G126" s="184" t="s">
        <v>570</v>
      </c>
      <c r="H126" s="157"/>
      <c r="I126" s="184"/>
      <c r="J126" s="156"/>
      <c r="K126" s="156"/>
      <c r="L126" s="156"/>
      <c r="M126" s="156"/>
      <c r="N126" s="156"/>
      <c r="O126" s="156"/>
      <c r="P126" s="156"/>
      <c r="Q126" s="164">
        <f xml:space="preserve"> F_Inputs!K79</f>
        <v>42.656927278692699</v>
      </c>
      <c r="R126" s="164">
        <f xml:space="preserve"> F_Inputs!L79</f>
        <v>45.0788803712583</v>
      </c>
      <c r="S126" s="164">
        <f xml:space="preserve"> F_Inputs!M79</f>
        <v>45.090559205572802</v>
      </c>
      <c r="T126" s="156"/>
    </row>
    <row r="127" spans="1:20" s="183" customFormat="1">
      <c r="A127" s="264" t="str">
        <f>F_Inputs!B80</f>
        <v>PR19FM2414POST</v>
      </c>
      <c r="B127" s="184"/>
      <c r="C127" s="184"/>
      <c r="D127" s="189"/>
      <c r="E127" s="184" t="s">
        <v>438</v>
      </c>
      <c r="F127" s="157"/>
      <c r="G127" s="184" t="s">
        <v>570</v>
      </c>
      <c r="H127" s="184"/>
      <c r="I127" s="184"/>
      <c r="J127" s="156"/>
      <c r="K127" s="156"/>
      <c r="L127" s="156"/>
      <c r="M127" s="156"/>
      <c r="N127" s="156"/>
      <c r="O127" s="156"/>
      <c r="P127" s="156"/>
      <c r="Q127" s="164">
        <f xml:space="preserve"> F_Inputs!K80</f>
        <v>182.653316580244</v>
      </c>
      <c r="R127" s="164">
        <f xml:space="preserve"> F_Inputs!L80</f>
        <v>199.48476856833901</v>
      </c>
      <c r="S127" s="164">
        <f xml:space="preserve"> F_Inputs!M80</f>
        <v>203.83556133843501</v>
      </c>
      <c r="T127" s="156"/>
    </row>
    <row r="128" spans="1:20" s="183" customFormat="1">
      <c r="A128" s="264" t="str">
        <f>F_Inputs!B81</f>
        <v>PR19FM2415POST</v>
      </c>
      <c r="B128" s="184"/>
      <c r="C128" s="184"/>
      <c r="D128" s="189"/>
      <c r="E128" s="184" t="s">
        <v>440</v>
      </c>
      <c r="F128" s="157"/>
      <c r="G128" s="184" t="s">
        <v>570</v>
      </c>
      <c r="H128" s="157"/>
      <c r="I128" s="184"/>
      <c r="J128" s="156"/>
      <c r="K128" s="156"/>
      <c r="L128" s="156"/>
      <c r="M128" s="156"/>
      <c r="N128" s="156"/>
      <c r="O128" s="156"/>
      <c r="P128" s="156"/>
      <c r="Q128" s="164">
        <f xml:space="preserve"> F_Inputs!K81</f>
        <v>59.088219345517302</v>
      </c>
      <c r="R128" s="164">
        <f xml:space="preserve"> F_Inputs!L81</f>
        <v>63.248575870313701</v>
      </c>
      <c r="S128" s="164">
        <f xml:space="preserve"> F_Inputs!M81</f>
        <v>64.203218270057903</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442</v>
      </c>
      <c r="F130" s="157"/>
      <c r="G130" s="184" t="s">
        <v>553</v>
      </c>
      <c r="H130" s="157"/>
      <c r="I130" s="184"/>
      <c r="J130" s="156"/>
      <c r="K130" s="156"/>
      <c r="L130" s="156"/>
      <c r="M130" s="156"/>
      <c r="N130" s="156"/>
      <c r="O130" s="156"/>
      <c r="P130" s="156"/>
      <c r="Q130" s="403">
        <f xml:space="preserve"> F_Inputs!K82</f>
        <v>7047</v>
      </c>
      <c r="R130" s="403">
        <f xml:space="preserve"> F_Inputs!L82</f>
        <v>7066</v>
      </c>
      <c r="S130" s="403">
        <f xml:space="preserve"> F_Inputs!M82</f>
        <v>7086</v>
      </c>
      <c r="T130" s="156"/>
    </row>
    <row r="131" spans="1:20" s="183" customFormat="1">
      <c r="A131" s="264" t="str">
        <f>F_Inputs!B83</f>
        <v>R4D02D03W</v>
      </c>
      <c r="B131" s="184"/>
      <c r="C131" s="184"/>
      <c r="D131" s="189"/>
      <c r="E131" s="184" t="s">
        <v>444</v>
      </c>
      <c r="F131" s="157"/>
      <c r="G131" s="184" t="s">
        <v>553</v>
      </c>
      <c r="H131" s="157"/>
      <c r="I131" s="184"/>
      <c r="J131" s="156"/>
      <c r="K131" s="156"/>
      <c r="L131" s="156"/>
      <c r="M131" s="156"/>
      <c r="N131" s="156"/>
      <c r="O131" s="156"/>
      <c r="P131" s="156"/>
      <c r="Q131" s="403">
        <f xml:space="preserve"> F_Inputs!K83</f>
        <v>85</v>
      </c>
      <c r="R131" s="403">
        <f xml:space="preserve"> F_Inputs!L83</f>
        <v>85</v>
      </c>
      <c r="S131" s="403">
        <f xml:space="preserve"> F_Inputs!M83</f>
        <v>85</v>
      </c>
      <c r="T131" s="156"/>
    </row>
    <row r="132" spans="1:20" s="183" customFormat="1">
      <c r="A132" s="264" t="str">
        <f>F_Inputs!B84</f>
        <v>R4D03D03W</v>
      </c>
      <c r="B132" s="184"/>
      <c r="C132" s="184"/>
      <c r="D132" s="189"/>
      <c r="E132" s="184" t="s">
        <v>446</v>
      </c>
      <c r="F132" s="157"/>
      <c r="G132" s="184" t="s">
        <v>553</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448</v>
      </c>
      <c r="F133" s="157"/>
      <c r="G133" s="184" t="s">
        <v>553</v>
      </c>
      <c r="H133" s="157"/>
      <c r="I133" s="184"/>
      <c r="J133" s="156"/>
      <c r="K133" s="156"/>
      <c r="L133" s="156"/>
      <c r="M133" s="156"/>
      <c r="N133" s="156"/>
      <c r="O133" s="156"/>
      <c r="P133" s="156"/>
      <c r="Q133" s="403">
        <f xml:space="preserve"> F_Inputs!K85</f>
        <v>920</v>
      </c>
      <c r="R133" s="403">
        <f xml:space="preserve"> F_Inputs!L85</f>
        <v>933</v>
      </c>
      <c r="S133" s="403">
        <f xml:space="preserve"> F_Inputs!M85</f>
        <v>948</v>
      </c>
      <c r="T133" s="156"/>
    </row>
    <row r="134" spans="1:20" s="183" customFormat="1">
      <c r="A134" s="264" t="str">
        <f>F_Inputs!B86</f>
        <v>R4D05D03W</v>
      </c>
      <c r="B134" s="184"/>
      <c r="C134" s="184"/>
      <c r="D134" s="189"/>
      <c r="E134" s="184" t="s">
        <v>450</v>
      </c>
      <c r="F134" s="157"/>
      <c r="G134" s="184" t="s">
        <v>553</v>
      </c>
      <c r="H134" s="157"/>
      <c r="I134" s="184"/>
      <c r="J134" s="156"/>
      <c r="K134" s="156"/>
      <c r="L134" s="156"/>
      <c r="M134" s="156"/>
      <c r="N134" s="156"/>
      <c r="O134" s="156"/>
      <c r="P134" s="156"/>
      <c r="Q134" s="403">
        <f xml:space="preserve"> F_Inputs!K86</f>
        <v>22</v>
      </c>
      <c r="R134" s="403">
        <f xml:space="preserve"> F_Inputs!L86</f>
        <v>22</v>
      </c>
      <c r="S134" s="403">
        <f xml:space="preserve"> F_Inputs!M86</f>
        <v>22</v>
      </c>
      <c r="T134" s="156"/>
    </row>
    <row r="135" spans="1:20" s="183" customFormat="1">
      <c r="A135" s="264" t="str">
        <f>F_Inputs!B87</f>
        <v>R4D06D03W</v>
      </c>
      <c r="B135" s="184"/>
      <c r="C135" s="184"/>
      <c r="D135" s="189"/>
      <c r="E135" s="184" t="s">
        <v>452</v>
      </c>
      <c r="F135" s="157"/>
      <c r="G135" s="184" t="s">
        <v>553</v>
      </c>
      <c r="H135" s="157"/>
      <c r="I135" s="184"/>
      <c r="J135" s="156"/>
      <c r="K135" s="156"/>
      <c r="L135" s="156"/>
      <c r="M135" s="156"/>
      <c r="N135" s="156"/>
      <c r="O135" s="156"/>
      <c r="P135" s="156"/>
      <c r="Q135" s="403">
        <f xml:space="preserve"> F_Inputs!K87</f>
        <v>1</v>
      </c>
      <c r="R135" s="403">
        <f xml:space="preserve"> F_Inputs!L87</f>
        <v>1</v>
      </c>
      <c r="S135" s="403">
        <f xml:space="preserve"> F_Inputs!M87</f>
        <v>1</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454</v>
      </c>
      <c r="F137" s="97"/>
      <c r="G137" s="97" t="s">
        <v>552</v>
      </c>
      <c r="H137" s="97"/>
      <c r="J137" s="195"/>
      <c r="K137" s="195"/>
      <c r="L137" s="195"/>
      <c r="M137" s="195"/>
      <c r="N137" s="195"/>
      <c r="O137" s="195"/>
      <c r="P137" s="195"/>
      <c r="Q137" s="76">
        <f xml:space="preserve"> F_Inputs!K88</f>
        <v>0.83145540551152597</v>
      </c>
      <c r="R137" s="76">
        <f xml:space="preserve"> F_Inputs!L88</f>
        <v>0.830645898470455</v>
      </c>
      <c r="S137" s="76">
        <f xml:space="preserve"> F_Inputs!M88</f>
        <v>0.82988346798289803</v>
      </c>
      <c r="T137" s="195"/>
    </row>
    <row r="138" spans="1:20" s="89" customFormat="1">
      <c r="A138" s="428" t="str">
        <f>F_Inputs!B89</f>
        <v>PR19FM2711</v>
      </c>
      <c r="D138" s="194"/>
      <c r="E138" s="89" t="s">
        <v>456</v>
      </c>
      <c r="F138" s="97"/>
      <c r="G138" s="97" t="s">
        <v>552</v>
      </c>
      <c r="H138" s="97"/>
      <c r="J138" s="195"/>
      <c r="K138" s="195"/>
      <c r="L138" s="195"/>
      <c r="M138" s="195"/>
      <c r="N138" s="195"/>
      <c r="O138" s="195"/>
      <c r="P138" s="195"/>
      <c r="Q138" s="76">
        <f xml:space="preserve"> F_Inputs!K89</f>
        <v>4.9930677612477201E-2</v>
      </c>
      <c r="R138" s="76">
        <f xml:space="preserve"> F_Inputs!L89</f>
        <v>5.0210883159421502E-2</v>
      </c>
      <c r="S138" s="76">
        <f xml:space="preserve"> F_Inputs!M89</f>
        <v>5.0363109437463999E-2</v>
      </c>
      <c r="T138" s="195"/>
    </row>
    <row r="139" spans="1:20" s="89" customFormat="1">
      <c r="A139" s="428" t="str">
        <f>F_Inputs!B90</f>
        <v>PR19FM2712</v>
      </c>
      <c r="D139" s="194"/>
      <c r="E139" s="89" t="s">
        <v>458</v>
      </c>
      <c r="F139" s="97"/>
      <c r="G139" s="97" t="s">
        <v>552</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460</v>
      </c>
      <c r="F140" s="97"/>
      <c r="G140" s="97" t="s">
        <v>552</v>
      </c>
      <c r="H140" s="97"/>
      <c r="J140" s="195"/>
      <c r="K140" s="195"/>
      <c r="L140" s="195"/>
      <c r="M140" s="195"/>
      <c r="N140" s="195"/>
      <c r="O140" s="195"/>
      <c r="P140" s="195"/>
      <c r="Q140" s="76">
        <f xml:space="preserve"> F_Inputs!K91</f>
        <v>0.104749441585418</v>
      </c>
      <c r="R140" s="76">
        <f xml:space="preserve"> F_Inputs!L91</f>
        <v>0.10508650122248001</v>
      </c>
      <c r="S140" s="76">
        <f xml:space="preserve"> F_Inputs!M91</f>
        <v>0.105499510367024</v>
      </c>
      <c r="T140" s="195"/>
    </row>
    <row r="141" spans="1:20" s="89" customFormat="1">
      <c r="A141" s="428" t="str">
        <f>F_Inputs!B92</f>
        <v>PR19FM2714</v>
      </c>
      <c r="D141" s="194"/>
      <c r="E141" s="89" t="s">
        <v>462</v>
      </c>
      <c r="F141" s="97"/>
      <c r="G141" s="97" t="s">
        <v>552</v>
      </c>
      <c r="H141" s="97"/>
      <c r="J141" s="195"/>
      <c r="K141" s="195"/>
      <c r="L141" s="195"/>
      <c r="M141" s="195"/>
      <c r="N141" s="195"/>
      <c r="O141" s="195"/>
      <c r="P141" s="195"/>
      <c r="Q141" s="76">
        <f xml:space="preserve"> F_Inputs!K92</f>
        <v>1.3702745616307899E-2</v>
      </c>
      <c r="R141" s="76">
        <f xml:space="preserve"> F_Inputs!L92</f>
        <v>1.38967118203103E-2</v>
      </c>
      <c r="S141" s="76">
        <f xml:space="preserve"> F_Inputs!M92</f>
        <v>1.40796435098746E-2</v>
      </c>
      <c r="T141" s="195"/>
    </row>
    <row r="142" spans="1:20" s="89" customFormat="1">
      <c r="A142" s="428" t="str">
        <f>F_Inputs!B93</f>
        <v>PR19FM2715</v>
      </c>
      <c r="D142" s="194"/>
      <c r="E142" s="89" t="s">
        <v>464</v>
      </c>
      <c r="F142" s="97"/>
      <c r="G142" s="97" t="s">
        <v>552</v>
      </c>
      <c r="H142" s="97"/>
      <c r="J142" s="195"/>
      <c r="K142" s="195"/>
      <c r="L142" s="195"/>
      <c r="M142" s="195"/>
      <c r="N142" s="195"/>
      <c r="O142" s="195"/>
      <c r="P142" s="195"/>
      <c r="Q142" s="76">
        <f xml:space="preserve"> F_Inputs!K93</f>
        <v>1.6172967427065599E-4</v>
      </c>
      <c r="R142" s="76">
        <f xml:space="preserve"> F_Inputs!L93</f>
        <v>1.6000532733344099E-4</v>
      </c>
      <c r="S142" s="76">
        <f xml:space="preserve"> F_Inputs!M93</f>
        <v>1.7426870273814301E-4</v>
      </c>
      <c r="T142" s="195"/>
    </row>
    <row r="143" spans="1:20" s="183" customFormat="1">
      <c r="A143" s="26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466</v>
      </c>
      <c r="F146" s="184"/>
      <c r="G146" s="184" t="s">
        <v>569</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468</v>
      </c>
      <c r="F147" s="97"/>
      <c r="G147" s="97" t="s">
        <v>553</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Hafren Dyfrdwy</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Hafren Dyfrdwy</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HDD</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-0.27995116666666697</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-8.6188666666666705E-2</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-1.9367160000000001E-2</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-1.77E-2</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-4.9094216759752701E-2</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2.9760000000000002E-2</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4.4400000000000004E-3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537</v>
      </c>
      <c r="F51" s="265">
        <f xml:space="preserve"> INDEX(F_Inputs!$A$1:$N$179,MATCH(A51,F_Inputs!$B:$B,0),MATCH($F$12,F_Inputs!$A$6:$N$6,1))</f>
        <v>3.9E-2</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2.91957638201563E-2</v>
      </c>
      <c r="G79" s="184" t="s">
        <v>552</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2.9600000000000001E-2</v>
      </c>
      <c r="G80" s="184" t="s">
        <v>552</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552</v>
      </c>
      <c r="H83" s="97"/>
      <c r="I83" s="89"/>
      <c r="J83" s="195"/>
      <c r="K83" s="195"/>
      <c r="L83" s="195"/>
      <c r="M83" s="195"/>
      <c r="N83" s="195"/>
      <c r="O83" s="195"/>
      <c r="P83" s="195"/>
      <c r="Q83" s="201">
        <f>F_Inputs!K150</f>
        <v>0.19</v>
      </c>
      <c r="R83" s="201">
        <f>F_Inputs!L150</f>
        <v>0.19</v>
      </c>
      <c r="S83" s="201">
        <f>F_Inputs!M150</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120.942989570896</v>
      </c>
      <c r="R85" s="347">
        <f>F_Inputs!L151</f>
        <v>0</v>
      </c>
      <c r="S85" s="347">
        <f>F_Inputs!M151</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569</v>
      </c>
      <c r="H105" s="184"/>
      <c r="I105" s="184"/>
      <c r="J105" s="156"/>
      <c r="K105" s="156"/>
      <c r="L105" s="156"/>
      <c r="M105" s="156"/>
      <c r="N105" s="268">
        <f>F_Inputs!H152</f>
        <v>3.3090370155933999</v>
      </c>
      <c r="O105" s="156"/>
      <c r="P105" s="156"/>
      <c r="Q105" s="156"/>
      <c r="R105" s="156"/>
      <c r="S105" s="156"/>
      <c r="T105" s="156"/>
    </row>
    <row r="106" spans="1:20" s="89" customFormat="1">
      <c r="A106" s="184" t="str">
        <f>F_Inputs!B153</f>
        <v>IPD04_CO_IN_67</v>
      </c>
      <c r="D106" s="194"/>
      <c r="E106" s="97" t="s">
        <v>416</v>
      </c>
      <c r="F106" s="97"/>
      <c r="G106" s="97" t="s">
        <v>553</v>
      </c>
      <c r="H106" s="97"/>
      <c r="J106" s="195"/>
      <c r="K106" s="195"/>
      <c r="L106" s="195"/>
      <c r="M106" s="195"/>
      <c r="N106" s="195"/>
      <c r="O106" s="192">
        <f>F_Inputs!I153</f>
        <v>0</v>
      </c>
      <c r="P106" s="192">
        <f>F_Inputs!J153</f>
        <v>-5.24</v>
      </c>
      <c r="Q106" s="192">
        <f>F_Inputs!K153</f>
        <v>-26.84</v>
      </c>
      <c r="R106" s="192">
        <f>F_Inputs!L153</f>
        <v>-3.91</v>
      </c>
      <c r="S106" s="192">
        <f>F_Inputs!M153</f>
        <v>1.45</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418</v>
      </c>
      <c r="F109" s="184"/>
      <c r="G109" s="184" t="s">
        <v>569</v>
      </c>
      <c r="H109" s="184"/>
      <c r="I109" s="184"/>
      <c r="J109" s="156"/>
      <c r="K109" s="156"/>
      <c r="L109" s="156"/>
      <c r="M109" s="156"/>
      <c r="N109" s="268">
        <f>F_Inputs!H154</f>
        <v>16.620240667520601</v>
      </c>
      <c r="O109" s="243"/>
      <c r="P109" s="243"/>
      <c r="Q109" s="243"/>
      <c r="R109" s="243"/>
      <c r="S109" s="243"/>
      <c r="T109" s="156"/>
    </row>
    <row r="110" spans="1:20" s="89" customFormat="1">
      <c r="A110" s="184" t="str">
        <f>F_Inputs!B155</f>
        <v>IPD04_CO_IN_69</v>
      </c>
      <c r="D110" s="194"/>
      <c r="E110" s="97" t="s">
        <v>420</v>
      </c>
      <c r="F110" s="97"/>
      <c r="G110" s="97" t="s">
        <v>553</v>
      </c>
      <c r="H110" s="97"/>
      <c r="J110" s="195"/>
      <c r="K110" s="195"/>
      <c r="L110" s="195"/>
      <c r="M110" s="195"/>
      <c r="N110" s="195"/>
      <c r="O110" s="192">
        <f>F_Inputs!I155</f>
        <v>0</v>
      </c>
      <c r="P110" s="192">
        <f>F_Inputs!J155</f>
        <v>4.4199999999999902</v>
      </c>
      <c r="Q110" s="192">
        <f>F_Inputs!K155</f>
        <v>3.49</v>
      </c>
      <c r="R110" s="192">
        <f>F_Inputs!L155</f>
        <v>2.2999999999999998</v>
      </c>
      <c r="S110" s="192">
        <f>F_Inputs!M155</f>
        <v>-0.96</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422</v>
      </c>
      <c r="F113" s="184"/>
      <c r="G113" s="184" t="s">
        <v>569</v>
      </c>
      <c r="H113" s="184"/>
      <c r="I113" s="184"/>
      <c r="J113" s="156"/>
      <c r="K113" s="156"/>
      <c r="L113" s="156"/>
      <c r="M113" s="156"/>
      <c r="N113" s="268">
        <f>F_Inputs!H156</f>
        <v>2.62804816808374</v>
      </c>
      <c r="O113" s="243"/>
      <c r="P113" s="243"/>
      <c r="Q113" s="243"/>
      <c r="R113" s="243"/>
      <c r="S113" s="243"/>
      <c r="T113" s="156"/>
    </row>
    <row r="114" spans="1:20" s="89" customFormat="1">
      <c r="A114" s="184" t="str">
        <f>F_Inputs!B157</f>
        <v>IPD04_CO_IN_71</v>
      </c>
      <c r="D114" s="194"/>
      <c r="E114" s="97" t="s">
        <v>424</v>
      </c>
      <c r="F114" s="97"/>
      <c r="G114" s="97" t="s">
        <v>553</v>
      </c>
      <c r="H114" s="97"/>
      <c r="J114" s="195"/>
      <c r="K114" s="195"/>
      <c r="L114" s="195"/>
      <c r="M114" s="195"/>
      <c r="N114" s="195"/>
      <c r="O114" s="192">
        <f>F_Inputs!I157</f>
        <v>0</v>
      </c>
      <c r="P114" s="192">
        <f>F_Inputs!J157</f>
        <v>1.5</v>
      </c>
      <c r="Q114" s="192">
        <f>F_Inputs!K157</f>
        <v>8.14</v>
      </c>
      <c r="R114" s="192">
        <f>F_Inputs!L157</f>
        <v>3.95</v>
      </c>
      <c r="S114" s="192">
        <f>F_Inputs!M157</f>
        <v>6.1799999999999899</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426</v>
      </c>
      <c r="F117" s="157"/>
      <c r="G117" s="157" t="str">
        <f>F15</f>
        <v>£m (2017-18 FYA CPIH prices)</v>
      </c>
      <c r="H117" s="157"/>
      <c r="I117" s="184"/>
      <c r="J117" s="156"/>
      <c r="K117" s="156"/>
      <c r="L117" s="156"/>
      <c r="M117" s="156"/>
      <c r="N117" s="156"/>
      <c r="O117" s="243"/>
      <c r="P117" s="268">
        <f>F_Inputs!J158</f>
        <v>0.76106190516839001</v>
      </c>
      <c r="Q117" s="268">
        <f>F_Inputs!K158</f>
        <v>0.76857260337977495</v>
      </c>
      <c r="R117" s="268">
        <f>F_Inputs!L158</f>
        <v>0.77608316916113596</v>
      </c>
      <c r="S117" s="268">
        <f>F_Inputs!M158</f>
        <v>0.78359348722960698</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428</v>
      </c>
      <c r="F120" s="157"/>
      <c r="G120" s="157" t="s">
        <v>569</v>
      </c>
      <c r="H120" s="157"/>
      <c r="I120" s="184"/>
      <c r="J120" s="156"/>
      <c r="K120" s="156"/>
      <c r="L120" s="156"/>
      <c r="M120" s="156"/>
      <c r="N120" s="156"/>
      <c r="O120" s="243"/>
      <c r="P120" s="268">
        <f>F_Inputs!J159</f>
        <v>2.8614136733599498</v>
      </c>
      <c r="Q120" s="268">
        <f>F_Inputs!K159</f>
        <v>2.8882614481161699</v>
      </c>
      <c r="R120" s="268">
        <f>F_Inputs!L159</f>
        <v>2.91717546677509</v>
      </c>
      <c r="S120" s="268">
        <f>F_Inputs!M159</f>
        <v>2.9422311764084998</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430</v>
      </c>
      <c r="F123" s="184"/>
      <c r="G123" s="184" t="s">
        <v>570</v>
      </c>
      <c r="H123" s="184"/>
      <c r="I123" s="184"/>
      <c r="J123" s="156"/>
      <c r="K123" s="156"/>
      <c r="L123" s="156"/>
      <c r="M123" s="156"/>
      <c r="N123" s="156"/>
      <c r="O123" s="156"/>
      <c r="P123" s="156"/>
      <c r="Q123" s="164">
        <f>F_Inputs!K160</f>
        <v>50.674296081747599</v>
      </c>
      <c r="R123" s="164">
        <f>F_Inputs!L160</f>
        <v>51.891575217186698</v>
      </c>
      <c r="S123" s="164">
        <f>F_Inputs!M160</f>
        <v>52.558561879673199</v>
      </c>
      <c r="T123" s="156"/>
    </row>
    <row r="124" spans="1:20" s="183" customFormat="1">
      <c r="A124" s="184" t="str">
        <f>F_Inputs!B161</f>
        <v>IPD04_CO_IN_75</v>
      </c>
      <c r="B124" s="184"/>
      <c r="C124" s="184"/>
      <c r="D124" s="189"/>
      <c r="E124" s="184" t="s">
        <v>432</v>
      </c>
      <c r="F124" s="157"/>
      <c r="G124" s="184" t="s">
        <v>570</v>
      </c>
      <c r="H124" s="157"/>
      <c r="I124" s="184"/>
      <c r="J124" s="156"/>
      <c r="K124" s="156"/>
      <c r="L124" s="156"/>
      <c r="M124" s="156"/>
      <c r="N124" s="156"/>
      <c r="O124" s="156"/>
      <c r="P124" s="156"/>
      <c r="Q124" s="164">
        <f>F_Inputs!K161</f>
        <v>178.89332068841901</v>
      </c>
      <c r="R124" s="164">
        <f>F_Inputs!L161</f>
        <v>184.448031563591</v>
      </c>
      <c r="S124" s="164">
        <f>F_Inputs!M161</f>
        <v>187.96881536225899</v>
      </c>
      <c r="T124" s="156"/>
    </row>
    <row r="125" spans="1:20" s="183" customFormat="1">
      <c r="A125" s="184" t="str">
        <f>F_Inputs!B162</f>
        <v>IPD04_CO_IN_76</v>
      </c>
      <c r="B125" s="184"/>
      <c r="C125" s="184"/>
      <c r="D125" s="189"/>
      <c r="E125" s="184" t="s">
        <v>434</v>
      </c>
      <c r="F125" s="157"/>
      <c r="G125" s="184" t="s">
        <v>570</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436</v>
      </c>
      <c r="F126" s="157"/>
      <c r="G126" s="184" t="s">
        <v>570</v>
      </c>
      <c r="H126" s="157"/>
      <c r="I126" s="184"/>
      <c r="J126" s="156"/>
      <c r="K126" s="156"/>
      <c r="L126" s="156"/>
      <c r="M126" s="156"/>
      <c r="N126" s="156"/>
      <c r="O126" s="156"/>
      <c r="P126" s="156"/>
      <c r="Q126" s="164">
        <f>F_Inputs!K163</f>
        <v>44.491569948501301</v>
      </c>
      <c r="R126" s="164">
        <f>F_Inputs!L163</f>
        <v>45.0788803712583</v>
      </c>
      <c r="S126" s="164">
        <f>F_Inputs!M163</f>
        <v>45.090559205572802</v>
      </c>
      <c r="T126" s="156"/>
    </row>
    <row r="127" spans="1:20" s="183" customFormat="1">
      <c r="A127" s="184" t="str">
        <f>F_Inputs!B164</f>
        <v>IPD04_CO_IN_78</v>
      </c>
      <c r="B127" s="184"/>
      <c r="C127" s="184"/>
      <c r="D127" s="189"/>
      <c r="E127" s="184" t="s">
        <v>438</v>
      </c>
      <c r="F127" s="157"/>
      <c r="G127" s="184" t="s">
        <v>570</v>
      </c>
      <c r="H127" s="157"/>
      <c r="I127" s="184"/>
      <c r="J127" s="156"/>
      <c r="K127" s="156"/>
      <c r="L127" s="156"/>
      <c r="M127" s="156"/>
      <c r="N127" s="156"/>
      <c r="O127" s="156"/>
      <c r="P127" s="156"/>
      <c r="Q127" s="164">
        <f>F_Inputs!K164</f>
        <v>192.68959071951701</v>
      </c>
      <c r="R127" s="164">
        <f>F_Inputs!L164</f>
        <v>199.48476856833901</v>
      </c>
      <c r="S127" s="164">
        <f>F_Inputs!M164</f>
        <v>203.83556133843501</v>
      </c>
      <c r="T127" s="156"/>
    </row>
    <row r="128" spans="1:20" s="183" customFormat="1">
      <c r="A128" s="184" t="str">
        <f>F_Inputs!B165</f>
        <v>IPD04_CO_IN_79</v>
      </c>
      <c r="B128" s="184"/>
      <c r="C128" s="184"/>
      <c r="D128" s="189"/>
      <c r="E128" s="184" t="s">
        <v>440</v>
      </c>
      <c r="F128" s="157"/>
      <c r="G128" s="184" t="s">
        <v>570</v>
      </c>
      <c r="H128" s="157"/>
      <c r="I128" s="184"/>
      <c r="J128" s="156"/>
      <c r="K128" s="156"/>
      <c r="L128" s="156"/>
      <c r="M128" s="156"/>
      <c r="N128" s="156"/>
      <c r="O128" s="156"/>
      <c r="P128" s="156"/>
      <c r="Q128" s="164">
        <f>F_Inputs!K165</f>
        <v>61.694236755713199</v>
      </c>
      <c r="R128" s="164">
        <f>F_Inputs!L165</f>
        <v>63.248575870313701</v>
      </c>
      <c r="S128" s="164">
        <f>F_Inputs!M165</f>
        <v>64.203218270057903</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442</v>
      </c>
      <c r="F130" s="157"/>
      <c r="G130" s="184" t="s">
        <v>553</v>
      </c>
      <c r="H130" s="157"/>
      <c r="I130" s="184"/>
      <c r="J130" s="156"/>
      <c r="K130" s="156"/>
      <c r="L130" s="156"/>
      <c r="M130" s="156"/>
      <c r="N130" s="156"/>
      <c r="O130" s="156"/>
      <c r="P130" s="156"/>
      <c r="Q130" s="403">
        <f>F_Inputs!K166</f>
        <v>7047</v>
      </c>
      <c r="R130" s="403">
        <f>F_Inputs!L166</f>
        <v>7066</v>
      </c>
      <c r="S130" s="403">
        <f>F_Inputs!M166</f>
        <v>7086</v>
      </c>
      <c r="T130" s="156"/>
    </row>
    <row r="131" spans="1:20" s="183" customFormat="1">
      <c r="A131" s="184" t="str">
        <f>F_Inputs!B167</f>
        <v>IPD04_CO_IN_81</v>
      </c>
      <c r="B131" s="184"/>
      <c r="C131" s="184"/>
      <c r="D131" s="189"/>
      <c r="E131" s="184" t="s">
        <v>444</v>
      </c>
      <c r="F131" s="157"/>
      <c r="G131" s="184" t="s">
        <v>553</v>
      </c>
      <c r="H131" s="157"/>
      <c r="I131" s="184"/>
      <c r="J131" s="156"/>
      <c r="K131" s="156"/>
      <c r="L131" s="156"/>
      <c r="M131" s="156"/>
      <c r="N131" s="156"/>
      <c r="O131" s="156"/>
      <c r="P131" s="156"/>
      <c r="Q131" s="403">
        <f>F_Inputs!K167</f>
        <v>85</v>
      </c>
      <c r="R131" s="403">
        <f>F_Inputs!L167</f>
        <v>85</v>
      </c>
      <c r="S131" s="403">
        <f>F_Inputs!M167</f>
        <v>85</v>
      </c>
      <c r="T131" s="156"/>
    </row>
    <row r="132" spans="1:20" s="183" customFormat="1">
      <c r="A132" s="184" t="str">
        <f>F_Inputs!B168</f>
        <v>IPD04_CO_IN_82</v>
      </c>
      <c r="B132" s="184"/>
      <c r="C132" s="184"/>
      <c r="D132" s="189"/>
      <c r="E132" s="184" t="s">
        <v>446</v>
      </c>
      <c r="F132" s="157"/>
      <c r="G132" s="184" t="s">
        <v>553</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448</v>
      </c>
      <c r="F133" s="157"/>
      <c r="G133" s="184" t="s">
        <v>553</v>
      </c>
      <c r="H133" s="157"/>
      <c r="I133" s="184"/>
      <c r="J133" s="156"/>
      <c r="K133" s="156"/>
      <c r="L133" s="156"/>
      <c r="M133" s="156"/>
      <c r="N133" s="156"/>
      <c r="O133" s="156"/>
      <c r="P133" s="156"/>
      <c r="Q133" s="403">
        <f>F_Inputs!K169</f>
        <v>920</v>
      </c>
      <c r="R133" s="403">
        <f>F_Inputs!L169</f>
        <v>933</v>
      </c>
      <c r="S133" s="403">
        <f>F_Inputs!M169</f>
        <v>948</v>
      </c>
      <c r="T133" s="156"/>
    </row>
    <row r="134" spans="1:20" s="183" customFormat="1">
      <c r="A134" s="184" t="str">
        <f>F_Inputs!B170</f>
        <v>IPD04_CO_IN_84</v>
      </c>
      <c r="B134" s="184"/>
      <c r="C134" s="184"/>
      <c r="D134" s="189"/>
      <c r="E134" s="184" t="s">
        <v>450</v>
      </c>
      <c r="F134" s="157"/>
      <c r="G134" s="184" t="s">
        <v>553</v>
      </c>
      <c r="H134" s="157"/>
      <c r="I134" s="184"/>
      <c r="J134" s="156"/>
      <c r="K134" s="156"/>
      <c r="L134" s="156"/>
      <c r="M134" s="156"/>
      <c r="N134" s="156"/>
      <c r="O134" s="156"/>
      <c r="P134" s="156"/>
      <c r="Q134" s="403">
        <f>F_Inputs!K170</f>
        <v>22</v>
      </c>
      <c r="R134" s="403">
        <f>F_Inputs!L170</f>
        <v>22</v>
      </c>
      <c r="S134" s="403">
        <f>F_Inputs!M170</f>
        <v>22</v>
      </c>
      <c r="T134" s="156"/>
    </row>
    <row r="135" spans="1:20" s="183" customFormat="1">
      <c r="A135" s="184" t="str">
        <f>F_Inputs!B171</f>
        <v>IPD04_CO_IN_85</v>
      </c>
      <c r="B135" s="184"/>
      <c r="C135" s="184"/>
      <c r="D135" s="189"/>
      <c r="E135" s="184" t="s">
        <v>452</v>
      </c>
      <c r="F135" s="157"/>
      <c r="G135" s="184" t="s">
        <v>553</v>
      </c>
      <c r="H135" s="157"/>
      <c r="I135" s="184"/>
      <c r="J135" s="156"/>
      <c r="K135" s="156"/>
      <c r="L135" s="156"/>
      <c r="M135" s="156"/>
      <c r="N135" s="156"/>
      <c r="O135" s="156"/>
      <c r="P135" s="156"/>
      <c r="Q135" s="403">
        <f>F_Inputs!K171</f>
        <v>1</v>
      </c>
      <c r="R135" s="403">
        <f>F_Inputs!L171</f>
        <v>1</v>
      </c>
      <c r="S135" s="403">
        <f>F_Inputs!M171</f>
        <v>1</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454</v>
      </c>
      <c r="F137" s="97"/>
      <c r="G137" s="97" t="s">
        <v>552</v>
      </c>
      <c r="H137" s="97"/>
      <c r="J137" s="195"/>
      <c r="K137" s="195"/>
      <c r="L137" s="195"/>
      <c r="M137" s="195"/>
      <c r="N137" s="195"/>
      <c r="O137" s="195"/>
      <c r="P137" s="195"/>
      <c r="Q137" s="76">
        <f>F_Inputs!K172</f>
        <v>0.83145540551152597</v>
      </c>
      <c r="R137" s="76">
        <f>F_Inputs!L172</f>
        <v>0.830645898470455</v>
      </c>
      <c r="S137" s="76">
        <f>F_Inputs!M172</f>
        <v>0.82988346798289703</v>
      </c>
      <c r="T137" s="195"/>
    </row>
    <row r="138" spans="1:20" s="89" customFormat="1">
      <c r="A138" s="89" t="str">
        <f>F_Inputs!B173</f>
        <v>IPD04_CO_IN_87</v>
      </c>
      <c r="D138" s="194"/>
      <c r="E138" s="89" t="s">
        <v>456</v>
      </c>
      <c r="F138" s="97"/>
      <c r="G138" s="97" t="s">
        <v>552</v>
      </c>
      <c r="H138" s="97"/>
      <c r="J138" s="195"/>
      <c r="K138" s="195"/>
      <c r="L138" s="195"/>
      <c r="M138" s="195"/>
      <c r="N138" s="195"/>
      <c r="O138" s="195"/>
      <c r="P138" s="195"/>
      <c r="Q138" s="76">
        <f>F_Inputs!K173</f>
        <v>4.9930677612477201E-2</v>
      </c>
      <c r="R138" s="76">
        <f>F_Inputs!L173</f>
        <v>5.0210883159421502E-2</v>
      </c>
      <c r="S138" s="76">
        <f>F_Inputs!M173</f>
        <v>5.0363109437463999E-2</v>
      </c>
      <c r="T138" s="195"/>
    </row>
    <row r="139" spans="1:20" s="89" customFormat="1">
      <c r="A139" s="89" t="str">
        <f>F_Inputs!B174</f>
        <v>IPD04_CO_IN_88</v>
      </c>
      <c r="D139" s="194"/>
      <c r="E139" s="89" t="s">
        <v>458</v>
      </c>
      <c r="F139" s="97"/>
      <c r="G139" s="97" t="s">
        <v>552</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460</v>
      </c>
      <c r="F140" s="97"/>
      <c r="G140" s="97" t="s">
        <v>552</v>
      </c>
      <c r="H140" s="97"/>
      <c r="J140" s="195"/>
      <c r="K140" s="195"/>
      <c r="L140" s="195"/>
      <c r="M140" s="195"/>
      <c r="N140" s="195"/>
      <c r="O140" s="195"/>
      <c r="P140" s="195"/>
      <c r="Q140" s="76">
        <f>F_Inputs!K175</f>
        <v>0.104749441585418</v>
      </c>
      <c r="R140" s="76">
        <f>F_Inputs!L175</f>
        <v>0.10508650122248001</v>
      </c>
      <c r="S140" s="76">
        <f>F_Inputs!M175</f>
        <v>0.105499510367024</v>
      </c>
      <c r="T140" s="195"/>
    </row>
    <row r="141" spans="1:20" s="89" customFormat="1">
      <c r="A141" s="89" t="str">
        <f>F_Inputs!B176</f>
        <v>IPD04_CO_IN_90</v>
      </c>
      <c r="D141" s="194"/>
      <c r="E141" s="89" t="s">
        <v>462</v>
      </c>
      <c r="F141" s="97"/>
      <c r="G141" s="97" t="s">
        <v>552</v>
      </c>
      <c r="H141" s="97"/>
      <c r="J141" s="195"/>
      <c r="K141" s="195"/>
      <c r="L141" s="195"/>
      <c r="M141" s="195"/>
      <c r="N141" s="195"/>
      <c r="O141" s="195"/>
      <c r="P141" s="195"/>
      <c r="Q141" s="76">
        <f>F_Inputs!K176</f>
        <v>1.3702745616307899E-2</v>
      </c>
      <c r="R141" s="76">
        <f>F_Inputs!L176</f>
        <v>1.38967118203103E-2</v>
      </c>
      <c r="S141" s="76">
        <f>F_Inputs!M176</f>
        <v>1.40796435098746E-2</v>
      </c>
      <c r="T141" s="195"/>
    </row>
    <row r="142" spans="1:20" s="89" customFormat="1">
      <c r="A142" s="89" t="str">
        <f>F_Inputs!B177</f>
        <v>IPD04_CO_IN_91</v>
      </c>
      <c r="D142" s="194"/>
      <c r="E142" s="89" t="s">
        <v>464</v>
      </c>
      <c r="F142" s="97"/>
      <c r="G142" s="97" t="s">
        <v>552</v>
      </c>
      <c r="H142" s="97"/>
      <c r="J142" s="195"/>
      <c r="K142" s="195"/>
      <c r="L142" s="195"/>
      <c r="M142" s="195"/>
      <c r="N142" s="195"/>
      <c r="O142" s="195"/>
      <c r="P142" s="195"/>
      <c r="Q142" s="76">
        <f>F_Inputs!K177</f>
        <v>1.6172967427065599E-4</v>
      </c>
      <c r="R142" s="76">
        <f>F_Inputs!L177</f>
        <v>1.6000532733344099E-4</v>
      </c>
      <c r="S142" s="76">
        <f>F_Inputs!M177</f>
        <v>1.7426870273814301E-4</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466</v>
      </c>
      <c r="F146" s="184"/>
      <c r="G146" s="184" t="s">
        <v>569</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468</v>
      </c>
      <c r="F147" s="97"/>
      <c r="G147" s="97" t="s">
        <v>553</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Hafren Dyfrdwy</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584</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396" t="str">
        <f>INDEX(Validation!B4:B22, MATCH(F10, Validation!C4:C22, 0))</f>
        <v>Hafren Dyfrdwy</v>
      </c>
      <c r="G9" s="184"/>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HDD</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399" t="str">
        <f>IF(InpCompany!F12 = InpExpected!F12, "", InpExpected!F12)</f>
        <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396"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396" t="s">
        <v>585</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t="str">
        <f>IF(InpCompany!F22 = InpExpected!F22, "", InpExpected!F22)</f>
        <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t="str">
        <f>IF(InpCompany!F23 = InpExpected!F23, "", InpExpected!F23)</f>
        <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f>IF(InpCompany!F25 = InpExpected!F25, "", InpExpected!F25)</f>
        <v>3.9E-2</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-4.5691509589905199E-2</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2.7768725939504999E-2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f>IF(InpCompany!F32 = InpExpected!F32, "", InpExpected!F32)</f>
        <v>4.1429147571035701E-3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-2.1399643491277001E-3</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f>IF(InpCompany!F69 = InpExpected!F69, "", InpExpected!F69)</f>
        <v>-8.4472276939251195E-5</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2.20582827356262E-3</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t="str">
        <f>IF(InpCompany!F79 = InpExpected!F79, "", InpExpected!F79)</f>
        <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t="str">
        <f>IF(InpCompany!F80 = InpExpected!F80, "", InpExpected!F80)</f>
        <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400" t="str">
        <f>IF(InpCompany!Q83 = InpExpected!Q83, "", InpExpected!Q83)</f>
        <v/>
      </c>
      <c r="R83" s="400">
        <f>IF(InpCompany!R83 = InpExpected!R83, "", InpExpected!R83)</f>
        <v>0.25</v>
      </c>
      <c r="S83" s="400">
        <f>IF(InpCompany!S83 = InpExpected!S83, "", InpExpected!S83)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t="str">
        <f>IF(InpCompany!R85 = InpExpected!R85, "", InpExpected!R85)</f>
        <v/>
      </c>
      <c r="S85" s="401" t="str">
        <f>IF(InpCompany!S85 = InpExpected!S85, "", InpExpected!S85)</f>
        <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402" t="str">
        <f>IF(InpCompany!N105 = InpExpected!N105, "", InpExpected!N105)</f>
        <v/>
      </c>
      <c r="O105" s="156"/>
      <c r="P105" s="156"/>
      <c r="Q105" s="156"/>
      <c r="R105" s="156"/>
      <c r="S105" s="156"/>
      <c r="T105" s="156"/>
    </row>
    <row r="106" spans="1:20" s="89" customFormat="1">
      <c r="D106" s="194"/>
      <c r="E106" s="97" t="s">
        <v>416</v>
      </c>
      <c r="F106" s="97"/>
      <c r="G106" s="97" t="s">
        <v>553</v>
      </c>
      <c r="H106" s="97"/>
      <c r="J106" s="195"/>
      <c r="K106" s="195"/>
      <c r="L106" s="195"/>
      <c r="M106" s="195"/>
      <c r="N106" s="195"/>
      <c r="O106" s="401" t="str">
        <f>IF(InpCompany!O106 = InpExpected!O106, "", InpExpected!O106)</f>
        <v/>
      </c>
      <c r="P106" s="401" t="str">
        <f>IF(InpCompany!P106 = InpExpected!P106, "", InpExpected!P106)</f>
        <v/>
      </c>
      <c r="Q106" s="401">
        <f>IF(InpCompany!Q106 = InpExpected!Q106, "", InpExpected!Q106)</f>
        <v>-38.75</v>
      </c>
      <c r="R106" s="401">
        <f>IF(InpCompany!R106 = InpExpected!R106, "", InpExpected!R106)</f>
        <v>13.85</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402" t="str">
        <f>IF(InpCompany!N109 = InpExpected!N109, "", InpExpected!N109)</f>
        <v/>
      </c>
      <c r="O109" s="243"/>
      <c r="P109" s="243"/>
      <c r="Q109" s="243"/>
      <c r="R109" s="243"/>
      <c r="S109" s="243"/>
      <c r="T109" s="156"/>
    </row>
    <row r="110" spans="1:20" s="89" customFormat="1">
      <c r="D110" s="194"/>
      <c r="E110" s="97" t="s">
        <v>420</v>
      </c>
      <c r="F110" s="97"/>
      <c r="G110" s="97" t="s">
        <v>553</v>
      </c>
      <c r="H110" s="97"/>
      <c r="J110" s="195"/>
      <c r="K110" s="195"/>
      <c r="L110" s="195"/>
      <c r="M110" s="195"/>
      <c r="N110" s="195"/>
      <c r="O110" s="401" t="str">
        <f>IF(InpCompany!O110 = InpExpected!O110, "", InpExpected!O110)</f>
        <v/>
      </c>
      <c r="P110" s="401" t="str">
        <f>IF(InpCompany!P110 = InpExpected!P110, "", InpExpected!P110)</f>
        <v/>
      </c>
      <c r="Q110" s="401">
        <f>IF(InpCompany!Q110 = InpExpected!Q110, "", InpExpected!Q110)</f>
        <v>1.3</v>
      </c>
      <c r="R110" s="401">
        <f>IF(InpCompany!R110 = InpExpected!R110, "", InpExpected!R110)</f>
        <v>4.45</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402" t="str">
        <f>IF(InpCompany!N113 = InpExpected!N113, "", InpExpected!N113)</f>
        <v/>
      </c>
      <c r="O113" s="243"/>
      <c r="P113" s="243"/>
      <c r="Q113" s="243"/>
      <c r="R113" s="243"/>
      <c r="S113" s="243"/>
      <c r="T113" s="156"/>
    </row>
    <row r="114" spans="1:20" s="89" customFormat="1">
      <c r="D114" s="194"/>
      <c r="E114" s="97" t="s">
        <v>424</v>
      </c>
      <c r="F114" s="97"/>
      <c r="G114" s="97" t="s">
        <v>553</v>
      </c>
      <c r="H114" s="97"/>
      <c r="J114" s="195"/>
      <c r="K114" s="195"/>
      <c r="L114" s="195"/>
      <c r="M114" s="195"/>
      <c r="N114" s="195"/>
      <c r="O114" s="401" t="str">
        <f>IF(InpCompany!O114 = InpExpected!O114, "", InpExpected!O114)</f>
        <v/>
      </c>
      <c r="P114" s="401" t="str">
        <f>IF(InpCompany!P114 = InpExpected!P114, "", InpExpected!P114)</f>
        <v/>
      </c>
      <c r="Q114" s="401">
        <f>IF(InpCompany!Q114 = InpExpected!Q114, "", InpExpected!Q114)</f>
        <v>-0.82</v>
      </c>
      <c r="R114" s="401">
        <f>IF(InpCompany!R114 = InpExpected!R114, "", InpExpected!R114)</f>
        <v>13.05</v>
      </c>
      <c r="S114" s="401">
        <f>IF(InpCompany!S114 = InpExpected!S114, "", InpExpected!S114)</f>
        <v>6.18</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402" t="str">
        <f>IF(InpCompany!P117 = InpExpected!P117, "", InpExpected!P117)</f>
        <v/>
      </c>
      <c r="Q117" s="402" t="str">
        <f>IF(InpCompany!Q117 = InpExpected!Q117, "", InpExpected!Q117)</f>
        <v/>
      </c>
      <c r="R117" s="402" t="str">
        <f>IF(InpCompany!R117 = InpExpected!R117, "", InpExpected!R117)</f>
        <v/>
      </c>
      <c r="S117" s="402" t="str">
        <f>IF(InpCompany!S117 = InpExpected!S117, "", InpExpected!S117)</f>
        <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402" t="str">
        <f>IF(InpCompany!P120 = InpExpected!P120, "", InpExpected!P120)</f>
        <v/>
      </c>
      <c r="Q120" s="402">
        <f>IF(InpCompany!Q120 = InpExpected!Q120, "", InpExpected!Q120)</f>
        <v>2.8941410726455299</v>
      </c>
      <c r="R120" s="402" t="str">
        <f>IF(InpCompany!R120 = InpExpected!R120, "", InpExpected!R120)</f>
        <v/>
      </c>
      <c r="S120" s="402" t="str">
        <f>IF(InpCompany!S120 = InpExpected!S120, "", InpExpected!S120)</f>
        <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399">
        <f>IF(InpCompany!Q123 = InpExpected!Q123, "", InpExpected!Q123)</f>
        <v>48.773120224721602</v>
      </c>
      <c r="R123" s="399" t="str">
        <f>IF(InpCompany!R123 = InpExpected!R123, "", InpExpected!R123)</f>
        <v/>
      </c>
      <c r="S123" s="399" t="str">
        <f>IF(InpCompany!S123 = InpExpected!S123, "", InpExpected!S123)</f>
        <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399">
        <f>IF(InpCompany!Q124 = InpExpected!Q124, "", InpExpected!Q124)</f>
        <v>169.42798250839101</v>
      </c>
      <c r="R124" s="399" t="str">
        <f>IF(InpCompany!R124 = InpExpected!R124, "", InpExpected!R124)</f>
        <v/>
      </c>
      <c r="S124" s="399" t="str">
        <f>IF(InpCompany!S124 = InpExpected!S124, "", InpExpected!S124)</f>
        <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399">
        <f>IF(InpCompany!Q126 = InpExpected!Q126, "", InpExpected!Q126)</f>
        <v>42.656927278692699</v>
      </c>
      <c r="R126" s="399" t="str">
        <f>IF(InpCompany!R126 = InpExpected!R126, "", InpExpected!R126)</f>
        <v/>
      </c>
      <c r="S126" s="399" t="str">
        <f>IF(InpCompany!S126 = InpExpected!S126, "", InpExpected!S126)</f>
        <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399">
        <f>IF(InpCompany!Q127 = InpExpected!Q127, "", InpExpected!Q127)</f>
        <v>182.653316580244</v>
      </c>
      <c r="R127" s="399" t="str">
        <f>IF(InpCompany!R127 = InpExpected!R127, "", InpExpected!R127)</f>
        <v/>
      </c>
      <c r="S127" s="399" t="str">
        <f>IF(InpCompany!S127 = InpExpected!S127, "", InpExpected!S127)</f>
        <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399">
        <f>IF(InpCompany!Q128 = InpExpected!Q128, "", InpExpected!Q128)</f>
        <v>59.088219345517302</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405" t="str">
        <f>IF(InpCompany!Q137 = InpExpected!Q137, "", InpExpected!Q137)</f>
        <v/>
      </c>
      <c r="R137" s="405" t="str">
        <f>IF(InpCompany!R137 = InpExpected!R137, "", InpExpected!R137)</f>
        <v/>
      </c>
      <c r="S137" s="405">
        <f>IF(InpCompany!S137 = InpExpected!S137, "", InpExpected!S137)</f>
        <v>0.82988346798289803</v>
      </c>
      <c r="T137" s="195"/>
    </row>
    <row r="138" spans="1:20" s="89" customFormat="1">
      <c r="D138" s="194"/>
      <c r="E138" s="89" t="s">
        <v>456</v>
      </c>
      <c r="F138" s="97"/>
      <c r="G138" s="97" t="s">
        <v>552</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458</v>
      </c>
      <c r="F139" s="97"/>
      <c r="G139" s="97" t="s">
        <v>552</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460</v>
      </c>
      <c r="F140" s="97"/>
      <c r="G140" s="97" t="s">
        <v>552</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462</v>
      </c>
      <c r="F141" s="97"/>
      <c r="G141" s="97" t="s">
        <v>552</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464</v>
      </c>
      <c r="F142" s="97"/>
      <c r="G142" s="97" t="s">
        <v>552</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468</v>
      </c>
      <c r="F147" s="97"/>
      <c r="G147" s="97" t="s">
        <v>553</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397" t="str">
        <f>IF(InpCompany!F151 = InpExpected!F151, "", InpExpected!F151)</f>
        <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397" t="str">
        <f>IF(InpCompany!F153 = InpExpected!F153, "", InpExpected!F153)</f>
        <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397" t="str">
        <f>IF(InpCompany!F155 = InpExpected!F155, "", InpExpected!F155)</f>
        <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398" t="str">
        <f>IF(InpCompany!F156 = InpExpected!F156, "", InpExpected!F156)</f>
        <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t="str">
        <f>IF(COUNT(F155:F156),DATE(YEAR(F155)+F156,MONTH(F155),DAY(F155)),"")</f>
        <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397" t="str">
        <f>IF(InpCompany!F159 = InpExpected!F159, "", InpExpected!F159)</f>
        <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397" t="str">
        <f>IF(InpCompany!F160 = InpExpected!F160, "", InpExpected!F160)</f>
        <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398" t="str">
        <f>IF(InpCompany!F161 = InpExpected!F161, "", InpExpected!F161)</f>
        <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398" t="str">
        <f>IF(InpCompany!F162 = InpExpected!F162, "", InpExpected!F162)</f>
        <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Hafren Dyfrdwy</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78" t="str">
        <f>IF(InpOfwat!F9&lt;&gt;"",InpOfwat!F9,InpCompany!F9)</f>
        <v>Hafren Dyfrdwy</v>
      </c>
      <c r="G9" s="184"/>
      <c r="H9" s="184"/>
      <c r="I9" s="186"/>
      <c r="J9" s="184"/>
      <c r="K9" s="184"/>
      <c r="L9" s="184"/>
      <c r="M9" s="184"/>
      <c r="N9" s="184"/>
      <c r="O9" s="184"/>
      <c r="P9" s="184"/>
      <c r="Q9" s="184"/>
      <c r="R9" s="184"/>
      <c r="S9" s="184"/>
      <c r="T9" s="184"/>
    </row>
    <row r="10" spans="1:20" s="183" customFormat="1">
      <c r="A10" s="184"/>
      <c r="B10" s="184"/>
      <c r="C10" s="184"/>
      <c r="D10" s="184"/>
      <c r="E10" s="184" t="s">
        <v>515</v>
      </c>
      <c r="F10" s="395" t="str">
        <f>IF(InpOfwat!F10&lt;&gt;"",InpOfwat!F10,InpCompany!F10)</f>
        <v>HDD</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283" t="str">
        <f>IF(InpOfwat!F12&lt;&gt;"",InpOfwat!F12,InpCompany!F12)</f>
        <v>2021-22</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1" t="str">
        <f>IF(InpOfwat!F14&lt;&gt;"",InpOfwat!F14,InpCompany!F14)</f>
        <v>2017-18</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291" t="str">
        <f>IF(InpOfwat!F15&lt;&gt;"",InpOfwat!F15,InpCompany!F15)</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589</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590</v>
      </c>
      <c r="F21" s="392">
        <f>IF(InpOfwat!F21&lt;&gt;"",InpOfwat!F21,InpCompany!F21)</f>
        <v>-0.27995116666666697</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591</v>
      </c>
      <c r="F22" s="283">
        <f>IF(InpOfwat!F22&lt;&gt;"",InpOfwat!F22,InpCompany!F22)</f>
        <v>-8.6188666666666705E-2</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592</v>
      </c>
      <c r="F23" s="283">
        <f>IF(InpOfwat!F23&lt;&gt;"",InpOfwat!F23,InpCompany!F23)</f>
        <v>-1.9367160000000001E-2</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593</v>
      </c>
      <c r="F24" s="283">
        <f>IF(InpOfwat!F24&lt;&gt;"",InpOfwat!F24,InpCompany!F24)</f>
        <v>0</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594</v>
      </c>
      <c r="F25" s="283">
        <f>IF(InpOfwat!F25&lt;&gt;"",InpOfwat!F25,InpCompany!F25)</f>
        <v>3.9E-2</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595</v>
      </c>
      <c r="F26" s="283">
        <f>IF(InpOfwat!F26&lt;&gt;"",InpOfwat!F26,InpCompany!F26)</f>
        <v>-1.77E-2</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596</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-4.5691509589905199E-2</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2.7768725939504999E-2</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4.1429147571035701E-3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283">
        <f>IF(InpOfwat!F51&lt;&gt;"",InpOfwat!F51,InpCompany!F51)</f>
        <v>3.9E-2</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-2.1399643491277001E-3</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-8.4472276939251195E-5</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2.20582827356262E-3</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2.91957638201563E-2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2.9600000000000001E-2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85">
        <f>IF(InpOfwat!N105&lt;&gt;"",InpOfwat!N105,InpCompany!N105)</f>
        <v>3.3090370155933999</v>
      </c>
      <c r="O105" s="156"/>
      <c r="P105" s="156"/>
      <c r="Q105" s="156"/>
      <c r="R105" s="156"/>
      <c r="S105" s="156"/>
      <c r="T105" s="156"/>
    </row>
    <row r="106" spans="1:20" s="89" customFormat="1">
      <c r="D106" s="194"/>
      <c r="E106" s="97" t="s">
        <v>416</v>
      </c>
      <c r="F106" s="97"/>
      <c r="G106" s="97" t="s">
        <v>553</v>
      </c>
      <c r="H106" s="97"/>
      <c r="J106" s="195"/>
      <c r="K106" s="195"/>
      <c r="L106" s="195"/>
      <c r="M106" s="195"/>
      <c r="N106" s="195"/>
      <c r="O106" s="280">
        <f>IF(InpOfwat!O106&lt;&gt;"",InpOfwat!O106,InpCompany!O106)</f>
        <v>0</v>
      </c>
      <c r="P106" s="280">
        <f>IF(InpOfwat!P106&lt;&gt;"",InpOfwat!P106,InpCompany!P106)</f>
        <v>-5.24</v>
      </c>
      <c r="Q106" s="280">
        <f>IF(InpOfwat!Q106&lt;&gt;"",InpOfwat!Q106,InpCompany!Q106)</f>
        <v>-38.75</v>
      </c>
      <c r="R106" s="280">
        <f>IF(InpOfwat!R106&lt;&gt;"",InpOfwat!R106,InpCompany!R106)</f>
        <v>13.85</v>
      </c>
      <c r="S106" s="280">
        <f>IF(InpOfwat!S106&lt;&gt;"",InpOfwat!S106,InpCompany!S106)</f>
        <v>1.45</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285">
        <f>IF(InpOfwat!N109&lt;&gt;"",InpOfwat!N109,InpCompany!N109)</f>
        <v>16.620240667520601</v>
      </c>
      <c r="O109" s="243"/>
      <c r="P109" s="243"/>
      <c r="Q109" s="243"/>
      <c r="R109" s="243"/>
      <c r="S109" s="243"/>
      <c r="T109" s="156"/>
    </row>
    <row r="110" spans="1:20" s="89" customFormat="1">
      <c r="D110" s="194"/>
      <c r="E110" s="97" t="s">
        <v>420</v>
      </c>
      <c r="F110" s="97"/>
      <c r="G110" s="97" t="s">
        <v>553</v>
      </c>
      <c r="H110" s="97"/>
      <c r="J110" s="195"/>
      <c r="K110" s="195"/>
      <c r="L110" s="195"/>
      <c r="M110" s="195"/>
      <c r="N110" s="195"/>
      <c r="O110" s="280">
        <f>IF(InpOfwat!O110&lt;&gt;"",InpOfwat!O110,InpCompany!O110)</f>
        <v>0</v>
      </c>
      <c r="P110" s="280">
        <f>IF(InpOfwat!P110&lt;&gt;"",InpOfwat!P110,InpCompany!P110)</f>
        <v>4.4199999999999902</v>
      </c>
      <c r="Q110" s="280">
        <f>IF(InpOfwat!Q110&lt;&gt;"",InpOfwat!Q110,InpCompany!Q110)</f>
        <v>1.3</v>
      </c>
      <c r="R110" s="280">
        <f>IF(InpOfwat!R110&lt;&gt;"",InpOfwat!R110,InpCompany!R110)</f>
        <v>4.45</v>
      </c>
      <c r="S110" s="280">
        <f>IF(InpOfwat!S110&lt;&gt;"",InpOfwat!S110,InpCompany!S110)</f>
        <v>-0.96</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285">
        <f>IF(InpOfwat!N113&lt;&gt;"",InpOfwat!N113,InpCompany!N113)</f>
        <v>2.62804816808374</v>
      </c>
      <c r="O113" s="243"/>
      <c r="P113" s="243"/>
      <c r="Q113" s="243"/>
      <c r="R113" s="243"/>
      <c r="S113" s="243"/>
      <c r="T113" s="156"/>
    </row>
    <row r="114" spans="1:20" s="89" customFormat="1">
      <c r="D114" s="194"/>
      <c r="E114" s="97" t="s">
        <v>424</v>
      </c>
      <c r="F114" s="97"/>
      <c r="G114" s="97" t="s">
        <v>553</v>
      </c>
      <c r="H114" s="97"/>
      <c r="J114" s="195"/>
      <c r="K114" s="195"/>
      <c r="L114" s="195"/>
      <c r="M114" s="195"/>
      <c r="N114" s="195"/>
      <c r="O114" s="280">
        <f>IF(InpOfwat!O114&lt;&gt;"",InpOfwat!O114,InpCompany!O114)</f>
        <v>0</v>
      </c>
      <c r="P114" s="280">
        <f>IF(InpOfwat!P114&lt;&gt;"",InpOfwat!P114,InpCompany!P114)</f>
        <v>1.5</v>
      </c>
      <c r="Q114" s="280">
        <f>IF(InpOfwat!Q114&lt;&gt;"",InpOfwat!Q114,InpCompany!Q114)</f>
        <v>-0.82</v>
      </c>
      <c r="R114" s="280">
        <f>IF(InpOfwat!R114&lt;&gt;"",InpOfwat!R114,InpCompany!R114)</f>
        <v>13.05</v>
      </c>
      <c r="S114" s="280">
        <f>IF(InpOfwat!S114&lt;&gt;"",InpOfwat!S114,InpCompany!S114)</f>
        <v>6.18</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285">
        <f>IF(InpOfwat!P117&lt;&gt;"",InpOfwat!P117,InpCompany!P117)</f>
        <v>0.76106190516839001</v>
      </c>
      <c r="Q117" s="285">
        <f>IF(InpOfwat!Q117&lt;&gt;"",InpOfwat!Q117,InpCompany!Q117)</f>
        <v>0.76857260337977495</v>
      </c>
      <c r="R117" s="285">
        <f>IF(InpOfwat!R117&lt;&gt;"",InpOfwat!R117,InpCompany!R117)</f>
        <v>0.77608316916113596</v>
      </c>
      <c r="S117" s="285">
        <f>IF(InpOfwat!S117&lt;&gt;"",InpOfwat!S117,InpCompany!S117)</f>
        <v>0.78359348722960698</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285">
        <f>IF(InpOfwat!P120&lt;&gt;"",InpOfwat!P120,InpCompany!P120)</f>
        <v>2.8614136733599498</v>
      </c>
      <c r="Q120" s="285">
        <f>IF(InpOfwat!Q120&lt;&gt;"",InpOfwat!Q120,InpCompany!Q120)</f>
        <v>2.8941410726455299</v>
      </c>
      <c r="R120" s="285">
        <f>IF(InpOfwat!R120&lt;&gt;"",InpOfwat!R120,InpCompany!R120)</f>
        <v>2.91717546677509</v>
      </c>
      <c r="S120" s="285">
        <f>IF(InpOfwat!S120&lt;&gt;"",InpOfwat!S120,InpCompany!S120)</f>
        <v>2.9422311764084998</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278">
        <f>IF(InpOfwat!Q123&lt;&gt;"",InpOfwat!Q123,InpCompany!Q123)</f>
        <v>48.773120224721602</v>
      </c>
      <c r="R123" s="278">
        <f>IF(InpOfwat!R123&lt;&gt;"",InpOfwat!R123,InpCompany!R123)</f>
        <v>51.891575217186698</v>
      </c>
      <c r="S123" s="278">
        <f>IF(InpOfwat!S123&lt;&gt;"",InpOfwat!S123,InpCompany!S123)</f>
        <v>52.558561879673199</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278">
        <f>IF(InpOfwat!Q124&lt;&gt;"",InpOfwat!Q124,InpCompany!Q124)</f>
        <v>169.42798250839101</v>
      </c>
      <c r="R124" s="278">
        <f>IF(InpOfwat!R124&lt;&gt;"",InpOfwat!R124,InpCompany!R124)</f>
        <v>184.448031563591</v>
      </c>
      <c r="S124" s="278">
        <f>IF(InpOfwat!S124&lt;&gt;"",InpOfwat!S124,InpCompany!S124)</f>
        <v>187.96881536225899</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278">
        <f>IF(InpOfwat!Q126&lt;&gt;"",InpOfwat!Q126,InpCompany!Q126)</f>
        <v>42.656927278692699</v>
      </c>
      <c r="R126" s="278">
        <f>IF(InpOfwat!R126&lt;&gt;"",InpOfwat!R126,InpCompany!R126)</f>
        <v>45.0788803712583</v>
      </c>
      <c r="S126" s="278">
        <f>IF(InpOfwat!S126&lt;&gt;"",InpOfwat!S126,InpCompany!S126)</f>
        <v>45.090559205572802</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278">
        <f>IF(InpOfwat!Q127&lt;&gt;"",InpOfwat!Q127,InpCompany!Q127)</f>
        <v>182.653316580244</v>
      </c>
      <c r="R127" s="278">
        <f>IF(InpOfwat!R127&lt;&gt;"",InpOfwat!R127,InpCompany!R127)</f>
        <v>199.48476856833901</v>
      </c>
      <c r="S127" s="278">
        <f>IF(InpOfwat!S127&lt;&gt;"",InpOfwat!S127,InpCompany!S127)</f>
        <v>203.83556133843501</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278">
        <f>IF(InpOfwat!Q128&lt;&gt;"",InpOfwat!Q128,InpCompany!Q128)</f>
        <v>59.088219345517302</v>
      </c>
      <c r="R128" s="278">
        <f>IF(InpOfwat!R128&lt;&gt;"",InpOfwat!R128,InpCompany!R128)</f>
        <v>63.248575870313701</v>
      </c>
      <c r="S128" s="278">
        <f>IF(InpOfwat!S128&lt;&gt;"",InpOfwat!S128,InpCompany!S128)</f>
        <v>64.203218270057903</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7">
        <f>IF(InpOfwat!Q130&lt;&gt;"",InpOfwat!Q130,InpCompany!Q130)</f>
        <v>7047</v>
      </c>
      <c r="R130" s="407">
        <f>IF(InpOfwat!R130&lt;&gt;"",InpOfwat!R130,InpCompany!R130)</f>
        <v>7066</v>
      </c>
      <c r="S130" s="407">
        <f>IF(InpOfwat!S130&lt;&gt;"",InpOfwat!S130,InpCompany!S130)</f>
        <v>7086</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7">
        <f>IF(InpOfwat!Q131&lt;&gt;"",InpOfwat!Q131,InpCompany!Q131)</f>
        <v>85</v>
      </c>
      <c r="R131" s="407">
        <f>IF(InpOfwat!R131&lt;&gt;"",InpOfwat!R131,InpCompany!R131)</f>
        <v>85</v>
      </c>
      <c r="S131" s="407">
        <f>IF(InpOfwat!S131&lt;&gt;"",InpOfwat!S131,InpCompany!S131)</f>
        <v>85</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7">
        <f>IF(InpOfwat!Q133&lt;&gt;"",InpOfwat!Q133,InpCompany!Q133)</f>
        <v>920</v>
      </c>
      <c r="R133" s="407">
        <f>IF(InpOfwat!R133&lt;&gt;"",InpOfwat!R133,InpCompany!R133)</f>
        <v>933</v>
      </c>
      <c r="S133" s="407">
        <f>IF(InpOfwat!S133&lt;&gt;"",InpOfwat!S133,InpCompany!S133)</f>
        <v>948</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7">
        <f>IF(InpOfwat!Q134&lt;&gt;"",InpOfwat!Q134,InpCompany!Q134)</f>
        <v>22</v>
      </c>
      <c r="R134" s="407">
        <f>IF(InpOfwat!R134&lt;&gt;"",InpOfwat!R134,InpCompany!R134)</f>
        <v>22</v>
      </c>
      <c r="S134" s="407">
        <f>IF(InpOfwat!S134&lt;&gt;"",InpOfwat!S134,InpCompany!S134)</f>
        <v>22</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7">
        <f>IF(InpOfwat!Q135&lt;&gt;"",InpOfwat!Q135,InpCompany!Q135)</f>
        <v>1</v>
      </c>
      <c r="R135" s="407">
        <f>IF(InpOfwat!R135&lt;&gt;"",InpOfwat!R135,InpCompany!R135)</f>
        <v>1</v>
      </c>
      <c r="S135" s="407">
        <f>IF(InpOfwat!S135&lt;&gt;"",InpOfwat!S135,InpCompany!S135)</f>
        <v>1</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286">
        <f>IF(InpOfwat!Q137&lt;&gt;"",InpOfwat!Q137,InpCompany!Q137)</f>
        <v>0.83145540551152597</v>
      </c>
      <c r="R137" s="286">
        <f>IF(InpOfwat!R137&lt;&gt;"",InpOfwat!R137,InpCompany!R137)</f>
        <v>0.830645898470455</v>
      </c>
      <c r="S137" s="286">
        <f>IF(InpOfwat!S137&lt;&gt;"",InpOfwat!S137,InpCompany!S137)</f>
        <v>0.82988346798289803</v>
      </c>
      <c r="T137" s="195"/>
    </row>
    <row r="138" spans="1:20" s="89" customFormat="1">
      <c r="D138" s="194"/>
      <c r="E138" s="89" t="s">
        <v>456</v>
      </c>
      <c r="F138" s="97"/>
      <c r="G138" s="97" t="s">
        <v>552</v>
      </c>
      <c r="H138" s="97"/>
      <c r="J138" s="195"/>
      <c r="K138" s="195"/>
      <c r="L138" s="195"/>
      <c r="M138" s="195"/>
      <c r="N138" s="195"/>
      <c r="O138" s="195"/>
      <c r="P138" s="195"/>
      <c r="Q138" s="286">
        <f>IF(InpOfwat!Q138&lt;&gt;"",InpOfwat!Q138,InpCompany!Q138)</f>
        <v>4.9930677612477201E-2</v>
      </c>
      <c r="R138" s="286">
        <f>IF(InpOfwat!R138&lt;&gt;"",InpOfwat!R138,InpCompany!R138)</f>
        <v>5.0210883159421502E-2</v>
      </c>
      <c r="S138" s="286">
        <f>IF(InpOfwat!S138&lt;&gt;"",InpOfwat!S138,InpCompany!S138)</f>
        <v>5.0363109437463999E-2</v>
      </c>
      <c r="T138" s="195"/>
    </row>
    <row r="139" spans="1:20" s="89" customFormat="1">
      <c r="D139" s="194"/>
      <c r="E139" s="89" t="s">
        <v>458</v>
      </c>
      <c r="F139" s="97"/>
      <c r="G139" s="97" t="s">
        <v>552</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460</v>
      </c>
      <c r="F140" s="97"/>
      <c r="G140" s="97" t="s">
        <v>552</v>
      </c>
      <c r="H140" s="97"/>
      <c r="J140" s="195"/>
      <c r="K140" s="195"/>
      <c r="L140" s="195"/>
      <c r="M140" s="195"/>
      <c r="N140" s="195"/>
      <c r="O140" s="195"/>
      <c r="P140" s="195"/>
      <c r="Q140" s="286">
        <f>IF(InpOfwat!Q140&lt;&gt;"",InpOfwat!Q140,InpCompany!Q140)</f>
        <v>0.104749441585418</v>
      </c>
      <c r="R140" s="286">
        <f>IF(InpOfwat!R140&lt;&gt;"",InpOfwat!R140,InpCompany!R140)</f>
        <v>0.10508650122248001</v>
      </c>
      <c r="S140" s="286">
        <f>IF(InpOfwat!S140&lt;&gt;"",InpOfwat!S140,InpCompany!S140)</f>
        <v>0.105499510367024</v>
      </c>
      <c r="T140" s="195"/>
    </row>
    <row r="141" spans="1:20" s="89" customFormat="1">
      <c r="D141" s="194"/>
      <c r="E141" s="89" t="s">
        <v>462</v>
      </c>
      <c r="F141" s="97"/>
      <c r="G141" s="97" t="s">
        <v>552</v>
      </c>
      <c r="H141" s="97"/>
      <c r="J141" s="195"/>
      <c r="K141" s="195"/>
      <c r="L141" s="195"/>
      <c r="M141" s="195"/>
      <c r="N141" s="195"/>
      <c r="O141" s="195"/>
      <c r="P141" s="195"/>
      <c r="Q141" s="286">
        <f>IF(InpOfwat!Q141&lt;&gt;"",InpOfwat!Q141,InpCompany!Q141)</f>
        <v>1.3702745616307899E-2</v>
      </c>
      <c r="R141" s="286">
        <f>IF(InpOfwat!R141&lt;&gt;"",InpOfwat!R141,InpCompany!R141)</f>
        <v>1.38967118203103E-2</v>
      </c>
      <c r="S141" s="286">
        <f>IF(InpOfwat!S141&lt;&gt;"",InpOfwat!S141,InpCompany!S141)</f>
        <v>1.40796435098746E-2</v>
      </c>
      <c r="T141" s="195"/>
    </row>
    <row r="142" spans="1:20" s="89" customFormat="1">
      <c r="D142" s="194"/>
      <c r="E142" s="89" t="s">
        <v>464</v>
      </c>
      <c r="F142" s="97"/>
      <c r="G142" s="97" t="s">
        <v>552</v>
      </c>
      <c r="H142" s="97"/>
      <c r="J142" s="195"/>
      <c r="K142" s="195"/>
      <c r="L142" s="195"/>
      <c r="M142" s="195"/>
      <c r="N142" s="195"/>
      <c r="O142" s="195"/>
      <c r="P142" s="195"/>
      <c r="Q142" s="286">
        <f>IF(InpOfwat!Q142&lt;&gt;"",InpOfwat!Q142,InpCompany!Q142)</f>
        <v>1.6172967427065599E-4</v>
      </c>
      <c r="R142" s="286">
        <f>IF(InpOfwat!R142&lt;&gt;"",InpOfwat!R142,InpCompany!R142)</f>
        <v>1.6000532733344099E-4</v>
      </c>
      <c r="S142" s="286">
        <f>IF(InpOfwat!S142&lt;&gt;"",InpOfwat!S142,InpCompany!S142)</f>
        <v>1.7426870273814301E-4</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468</v>
      </c>
      <c r="F147" s="97"/>
      <c r="G147" s="97" t="s">
        <v>553</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f>IF(InpOfwat!F151&lt;&gt;"",InpOfwat!F151,InpCompany!F151)</f>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598</v>
      </c>
      <c r="F153" s="276">
        <f>IF(InpOfwat!F153&lt;&gt;"",InpOfwat!F153,InpCompany!F153)</f>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f>IF(InpOfwat!F155&lt;&gt;"",InpOfwat!F155,InpCompany!F155)</f>
        <v>43921</v>
      </c>
      <c r="G155" s="157" t="s">
        <v>572</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575</v>
      </c>
      <c r="F156" s="277">
        <f>IF(InpOfwat!F156&lt;&gt;"",InpOfwat!F156,InpCompany!F156)</f>
        <v>5</v>
      </c>
      <c r="G156" s="157"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f>IF(InpOfwat!F157&lt;&gt;"",InpOfwat!F157,InpCompany!F157)</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599</v>
      </c>
      <c r="F159" s="276">
        <f>IF(InpOfwat!F159&lt;&gt;"",InpOfwat!F159,InpCompany!F159)</f>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600</v>
      </c>
      <c r="F160" s="276">
        <f>IF(InpOfwat!F160&lt;&gt;"",InpOfwat!F160,InpCompany!F160)</f>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601</v>
      </c>
      <c r="F161" s="277">
        <f>IF(InpOfwat!F161&lt;&gt;"",InpOfwat!F161,InpCompany!F161)</f>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602</v>
      </c>
      <c r="F162" s="277">
        <f>IF(InpOfwat!F162&lt;&gt;"",InpOfwat!F162,InpCompany!F162)</f>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72B826C1-D40B-48E9-A397-055741CA8EAD}"/>
</file>

<file path=customXml/itemProps2.xml><?xml version="1.0" encoding="utf-8"?>
<ds:datastoreItem xmlns:ds="http://schemas.openxmlformats.org/officeDocument/2006/customXml" ds:itemID="{E87941B8-8A92-491E-AE74-7A78D32EF61A}"/>
</file>

<file path=customXml/itemProps3.xml><?xml version="1.0" encoding="utf-8"?>
<ds:datastoreItem xmlns:ds="http://schemas.openxmlformats.org/officeDocument/2006/customXml" ds:itemID="{63F321E8-4EA6-4DE3-A8EF-4E26FF7E1E29}"/>
</file>

<file path=customXml/itemProps4.xml><?xml version="1.0" encoding="utf-8"?>
<ds:datastoreItem xmlns:ds="http://schemas.openxmlformats.org/officeDocument/2006/customXml" ds:itemID="{AE0B2257-DE3D-4C17-A971-A5EE66F545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2022-11-08T15:22:06Z</dcterms:created>
  <dcterms:modified xsi:type="dcterms:W3CDTF">2022-11-14T17:21:51Z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